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ryonormgroup-my.sharepoint.com/personal/pmeurgey_cryonorm_com/Documents/Documents/Desktop/"/>
    </mc:Choice>
  </mc:AlternateContent>
  <xr:revisionPtr revIDLastSave="749" documentId="8_{AC74C1DD-DFEF-4B92-BA39-8F3F223DE0B4}" xr6:coauthVersionLast="47" xr6:coauthVersionMax="47" xr10:uidLastSave="{3EABD69B-6D9D-4683-B746-91C08B6FCBD4}"/>
  <bookViews>
    <workbookView xWindow="-120" yWindow="-120" windowWidth="29040" windowHeight="15720" tabRatio="897" firstSheet="29" activeTab="38" xr2:uid="{00000000-000D-0000-FFFF-FFFF00000000}"/>
    <workbookView xWindow="-120" yWindow="-120" windowWidth="29040" windowHeight="15720" activeTab="3" xr2:uid="{00000000-000D-0000-FFFF-FFFF01000000}"/>
  </bookViews>
  <sheets>
    <sheet name="Front Page" sheetId="1" r:id="rId1"/>
    <sheet name="Index" sheetId="2" r:id="rId2"/>
    <sheet name="Ref Documents" sheetId="3" r:id="rId3"/>
    <sheet name="Design Conditions" sheetId="4" r:id="rId4"/>
    <sheet name="Allowable Stresses" sheetId="5" r:id="rId5"/>
    <sheet name="Main Dimensions Summary" sheetId="6" r:id="rId6"/>
    <sheet name="Main Dimensions Calcs" sheetId="7" r:id="rId7"/>
    <sheet name="Plate List" sheetId="8" r:id="rId8"/>
    <sheet name="Weight Calculations" sheetId="9" r:id="rId9"/>
    <sheet name="Front Page Thermal Calcs" sheetId="10" r:id="rId10"/>
    <sheet name="Thermal calculation 1" sheetId="11" r:id="rId11"/>
    <sheet name="Thermal calculation 2" sheetId="12" r:id="rId12"/>
    <sheet name="Inner Vessel Shell Thickness" sheetId="13" r:id="rId13"/>
    <sheet name="Inner Vessel Shell Thickness 2" sheetId="14" r:id="rId14"/>
    <sheet name="IV Shell Thickness Test" sheetId="15" r:id="rId15"/>
    <sheet name="IV Shell Thickness Full Liquid" sheetId="16" r:id="rId16"/>
    <sheet name="Inner Tank stiffeners 1" sheetId="17" r:id="rId17"/>
    <sheet name="Inner Tank Stiffeners 2" sheetId="18" r:id="rId18"/>
    <sheet name="Inner Tank Stiffeners 3" sheetId="19" r:id="rId19"/>
    <sheet name="Inner Tank Stiffeners Solid" sheetId="20" r:id="rId20"/>
    <sheet name="Inner Tank Roof Thickness" sheetId="21" r:id="rId21"/>
    <sheet name="Inner Tank Compression Ring 1" sheetId="22" r:id="rId22"/>
    <sheet name="Inner Tank Compression Ring 2" sheetId="23" r:id="rId23"/>
    <sheet name="Inner Tank Anchors" sheetId="24" r:id="rId24"/>
    <sheet name="Oute Tank Shell" sheetId="25" r:id="rId25"/>
    <sheet name="Outer Tank Stiffeners" sheetId="26" r:id="rId26"/>
    <sheet name="Outer Tank Roof" sheetId="27" r:id="rId27"/>
    <sheet name="Outer Tank Roof to Shell" sheetId="28" r:id="rId28"/>
    <sheet name="Outer Tank Anchors" sheetId="29" r:id="rId29"/>
    <sheet name="Wind Forces" sheetId="30" r:id="rId30"/>
    <sheet name="Earthquake API 650 OLE" sheetId="31" r:id="rId31"/>
    <sheet name="Earthquake API 650 CLE" sheetId="32" r:id="rId32"/>
    <sheet name="Earthquake API 650 Inner Tank" sheetId="33" r:id="rId33"/>
    <sheet name="Earthquake API 650 Outer Tank" sheetId="34" r:id="rId34"/>
    <sheet name="Loads on slab" sheetId="35" r:id="rId35"/>
    <sheet name="Cellular Glass Selection" sheetId="36" r:id="rId36"/>
    <sheet name="Nozzle Reinforcement" sheetId="37" r:id="rId37"/>
    <sheet name="Concrete Rebar Check" sheetId="38" r:id="rId38"/>
    <sheet name="ASCE 7-10 Check" sheetId="39" r:id="rId39"/>
  </sheets>
  <definedNames>
    <definedName name="_Hlk57045154" localSheetId="2">'Ref Documents'!$B$11</definedName>
    <definedName name="A_IMPRESIÓN_IM" localSheetId="31">#REF!</definedName>
    <definedName name="A_IMPRESIÓN_IM" localSheetId="32">#REF!</definedName>
    <definedName name="A_IMPRESIÓN_IM" localSheetId="22">#REF!</definedName>
    <definedName name="A_IMPRESIÓN_IM" localSheetId="16">#REF!</definedName>
    <definedName name="A_IMPRESIÓN_IM" localSheetId="18">#REF!</definedName>
    <definedName name="A_IMPRESIÓN_IM" localSheetId="19">#REF!</definedName>
    <definedName name="A_IMPRESIÓN_IM" localSheetId="15">#REF!</definedName>
    <definedName name="A_IMPRESIÓN_IM" localSheetId="27">#REF!</definedName>
    <definedName name="A_IMPRESIÓN_IM">#REF!</definedName>
    <definedName name="CALCULOS" localSheetId="31">#REF!</definedName>
    <definedName name="CALCULOS" localSheetId="32">#REF!</definedName>
    <definedName name="CALCULOS" localSheetId="22">#REF!</definedName>
    <definedName name="CALCULOS" localSheetId="16">#REF!</definedName>
    <definedName name="CALCULOS" localSheetId="18">#REF!</definedName>
    <definedName name="CALCULOS" localSheetId="19">#REF!</definedName>
    <definedName name="CALCULOS" localSheetId="15">#REF!</definedName>
    <definedName name="CALCULOS" localSheetId="27">#REF!</definedName>
    <definedName name="CALCULOS">#REF!</definedName>
    <definedName name="D" localSheetId="9" hidden="1">{"Datos",#N/A,TRUE,"DATOS ENTRADA";"cilindro1",#N/A,TRUE,"Cilindro P.Int.";"korbbogen",#N/A,TRUE,"Fondos P.int.";"no pasante",#N/A,TRUE,"No pasante con refuerzo"}</definedName>
    <definedName name="D" localSheetId="28" hidden="1">{"Datos",#N/A,TRUE,"DATOS ENTRADA";"cilindro1",#N/A,TRUE,"Cilindro P.Int.";"korbbogen",#N/A,TRUE,"Fondos P.int.";"no pasante",#N/A,TRUE,"No pasante con refuerzo"}</definedName>
    <definedName name="D" localSheetId="10" hidden="1">{"Datos",#N/A,TRUE,"DATOS ENTRADA";"cilindro1",#N/A,TRUE,"Cilindro P.Int.";"korbbogen",#N/A,TRUE,"Fondos P.int.";"no pasante",#N/A,TRUE,"No pasante con refuerzo"}</definedName>
    <definedName name="D" hidden="1">{"Datos",#N/A,TRUE,"DATOS ENTRADA";"cilindro1",#N/A,TRUE,"Cilindro P.Int.";"korbbogen",#N/A,TRUE,"Fondos P.int.";"no pasante",#N/A,TRUE,"No pasante con refuerzo"}</definedName>
    <definedName name="IMPRIMIR_KLOPPER" localSheetId="31">#REF!</definedName>
    <definedName name="IMPRIMIR_KLOPPER" localSheetId="32">#REF!</definedName>
    <definedName name="IMPRIMIR_KLOPPER" localSheetId="22">#REF!</definedName>
    <definedName name="IMPRIMIR_KLOPPER" localSheetId="16">#REF!</definedName>
    <definedName name="IMPRIMIR_KLOPPER" localSheetId="18">#REF!</definedName>
    <definedName name="IMPRIMIR_KLOPPER" localSheetId="19">#REF!</definedName>
    <definedName name="IMPRIMIR_KLOPPER" localSheetId="15">#REF!</definedName>
    <definedName name="IMPRIMIR_KLOPPER" localSheetId="27">#REF!</definedName>
    <definedName name="IMPRIMIR_KLOPPER">#REF!</definedName>
    <definedName name="IMPRIMIR_KORBBOGEN" localSheetId="31">#REF!</definedName>
    <definedName name="IMPRIMIR_KORBBOGEN" localSheetId="32">#REF!</definedName>
    <definedName name="IMPRIMIR_KORBBOGEN" localSheetId="22">#REF!</definedName>
    <definedName name="IMPRIMIR_KORBBOGEN" localSheetId="16">#REF!</definedName>
    <definedName name="IMPRIMIR_KORBBOGEN" localSheetId="18">#REF!</definedName>
    <definedName name="IMPRIMIR_KORBBOGEN" localSheetId="19">#REF!</definedName>
    <definedName name="IMPRIMIR_KORBBOGEN" localSheetId="15">#REF!</definedName>
    <definedName name="IMPRIMIR_KORBBOGEN" localSheetId="27">#REF!</definedName>
    <definedName name="IMPRIMIR_KORBBOGEN">#REF!</definedName>
    <definedName name="IMPRIMIR_VIROLA" localSheetId="31">#REF!</definedName>
    <definedName name="IMPRIMIR_VIROLA" localSheetId="32">#REF!</definedName>
    <definedName name="IMPRIMIR_VIROLA" localSheetId="22">#REF!</definedName>
    <definedName name="IMPRIMIR_VIROLA" localSheetId="16">#REF!</definedName>
    <definedName name="IMPRIMIR_VIROLA" localSheetId="18">#REF!</definedName>
    <definedName name="IMPRIMIR_VIROLA" localSheetId="19">#REF!</definedName>
    <definedName name="IMPRIMIR_VIROLA" localSheetId="15">#REF!</definedName>
    <definedName name="IMPRIMIR_VIROLA" localSheetId="27">#REF!</definedName>
    <definedName name="IMPRIMIR_VIROLA">#REF!</definedName>
    <definedName name="informe2" localSheetId="4" hidden="1">{"Datos",#N/A,TRUE,"DATOS ENTRADA";"cilindro1",#N/A,TRUE,"Cilindro P.Int.";"korbbogen",#N/A,TRUE,"Fondos P.int.";"no pasante",#N/A,TRUE,"No pasante con refuerzo"}</definedName>
    <definedName name="informe2" localSheetId="3" hidden="1">{"Datos",#N/A,TRUE,"DATOS ENTRADA";"cilindro1",#N/A,TRUE,"Cilindro P.Int.";"korbbogen",#N/A,TRUE,"Fondos P.int.";"no pasante",#N/A,TRUE,"No pasante con refuerzo"}</definedName>
    <definedName name="informe2" localSheetId="9" hidden="1">{"Datos",#N/A,TRUE,"DATOS ENTRADA";"cilindro1",#N/A,TRUE,"Cilindro P.Int.";"korbbogen",#N/A,TRUE,"Fondos P.int.";"no pasante",#N/A,TRUE,"No pasante con refuerzo"}</definedName>
    <definedName name="informe2" localSheetId="12" hidden="1">{"Datos",#N/A,TRUE,"DATOS ENTRADA";"cilindro1",#N/A,TRUE,"Cilindro P.Int.";"korbbogen",#N/A,TRUE,"Fondos P.int.";"no pasante",#N/A,TRUE,"No pasante con refuerzo"}</definedName>
    <definedName name="informe2" localSheetId="13" hidden="1">{"Datos",#N/A,TRUE,"DATOS ENTRADA";"cilindro1",#N/A,TRUE,"Cilindro P.Int.";"korbbogen",#N/A,TRUE,"Fondos P.int.";"no pasante",#N/A,TRUE,"No pasante con refuerzo"}</definedName>
    <definedName name="informe2" localSheetId="28" hidden="1">{"Datos",#N/A,TRUE,"DATOS ENTRADA";"cilindro1",#N/A,TRUE,"Cilindro P.Int.";"korbbogen",#N/A,TRUE,"Fondos P.int.";"no pasante",#N/A,TRUE,"No pasante con refuerzo"}</definedName>
    <definedName name="informe2" localSheetId="26" hidden="1">{"Datos",#N/A,TRUE,"DATOS ENTRADA";"cilindro1",#N/A,TRUE,"Cilindro P.Int.";"korbbogen",#N/A,TRUE,"Fondos P.int.";"no pasante",#N/A,TRUE,"No pasante con refuerzo"}</definedName>
    <definedName name="informe2" localSheetId="10" hidden="1">{"Datos",#N/A,TRUE,"DATOS ENTRADA";"cilindro1",#N/A,TRUE,"Cilindro P.Int.";"korbbogen",#N/A,TRUE,"Fondos P.int.";"no pasante",#N/A,TRUE,"No pasante con refuerzo"}</definedName>
    <definedName name="informe2" hidden="1">{"Datos",#N/A,TRUE,"DATOS ENTRADA";"cilindro1",#N/A,TRUE,"Cilindro P.Int.";"korbbogen",#N/A,TRUE,"Fondos P.int.";"no pasante",#N/A,TRUE,"No pasante con refuerzo"}</definedName>
    <definedName name="_xlnm.Print_Area" localSheetId="4">'Allowable Stresses'!$A$1:$J$35</definedName>
    <definedName name="_xlnm.Print_Area" localSheetId="38">'ASCE 7-10 Check'!$A$1:$I$58</definedName>
    <definedName name="_xlnm.Print_Area" localSheetId="35">'Cellular Glass Selection'!$J$1:$R$42</definedName>
    <definedName name="_xlnm.Print_Area" localSheetId="37">'Concrete Rebar Check'!$J$1:$R$87</definedName>
    <definedName name="_xlnm.Print_Area" localSheetId="3">'Design Conditions'!$A$1:$K$53,'Design Conditions'!$L$1:$U$50</definedName>
    <definedName name="_xlnm.Print_Area" localSheetId="31">'Earthquake API 650 CLE'!$I$1:$P$213</definedName>
    <definedName name="_xlnm.Print_Area" localSheetId="32">'Earthquake API 650 Inner Tank'!$I$1:$P$211</definedName>
    <definedName name="_xlnm.Print_Area" localSheetId="30">'Earthquake API 650 OLE'!$I$1:$P$211</definedName>
    <definedName name="_xlnm.Print_Area" localSheetId="33">'Earthquake API 650 Outer Tank'!$I$1:$P$148</definedName>
    <definedName name="_xlnm.Print_Area" localSheetId="0">'Front Page'!$A$1:$K$45</definedName>
    <definedName name="_xlnm.Print_Area" localSheetId="9">'Front Page Thermal Calcs'!$A$1:$K$51</definedName>
    <definedName name="_xlnm.Print_Area" localSheetId="1">Index!$A$1:$K$74</definedName>
    <definedName name="_xlnm.Print_Area" localSheetId="23">'Inner Tank Anchors'!$J$1:$R$198</definedName>
    <definedName name="_xlnm.Print_Area" localSheetId="21">'Inner Tank Compression Ring 1'!$S$1:$AA$107,'Inner Tank Compression Ring 1'!$AB$1:$AJ$55</definedName>
    <definedName name="_xlnm.Print_Area" localSheetId="22">'Inner Tank Compression Ring 2'!$S$1:$AA$85</definedName>
    <definedName name="_xlnm.Print_Area" localSheetId="20">'Inner Tank Roof Thickness'!$I$1:$P$104</definedName>
    <definedName name="_xlnm.Print_Area" localSheetId="16">'Inner Tank stiffeners 1'!$Q$1:$X$173,'Inner Tank stiffeners 1'!$Y$1:$AF$59</definedName>
    <definedName name="_xlnm.Print_Area" localSheetId="17">'Inner Tank Stiffeners 2'!$Q$1:$X$172,'Inner Tank Stiffeners 2'!$Y$1:$AF$57</definedName>
    <definedName name="_xlnm.Print_Area" localSheetId="18">'Inner Tank Stiffeners 3'!$Q$1:$X$177,'Inner Tank Stiffeners 3'!$Y$1:$AF$61</definedName>
    <definedName name="_xlnm.Print_Area" localSheetId="19">'Inner Tank Stiffeners Solid'!$Q$1:$X$177,'Inner Tank Stiffeners Solid'!$Y$1:$AF$61</definedName>
    <definedName name="_xlnm.Print_Area" localSheetId="12">'Inner Vessel Shell Thickness'!$I$1:$P$179</definedName>
    <definedName name="_xlnm.Print_Area" localSheetId="13">'Inner Vessel Shell Thickness 2'!$I$1:$P$145</definedName>
    <definedName name="_xlnm.Print_Area" localSheetId="15">'IV Shell Thickness Full Liquid'!$I$1:$P$86</definedName>
    <definedName name="_xlnm.Print_Area" localSheetId="14">'IV Shell Thickness Test'!$I$1:$P$85</definedName>
    <definedName name="_xlnm.Print_Area" localSheetId="34">'Loads on slab'!$R$1:$Z$94,'Loads on slab'!$AA$1:$AH$46</definedName>
    <definedName name="_xlnm.Print_Area" localSheetId="6">'Main Dimensions Calcs'!$A$1:$N$46,'Main Dimensions Calcs'!$A$48:$N$91</definedName>
    <definedName name="_xlnm.Print_Area" localSheetId="5">'Main Dimensions Summary'!$K$1:$T$97</definedName>
    <definedName name="_xlnm.Print_Area" localSheetId="36">'Nozzle Reinforcement'!$I$1:$P$95</definedName>
    <definedName name="_xlnm.Print_Area" localSheetId="24">'Oute Tank Shell'!$I$1:$P$181</definedName>
    <definedName name="_xlnm.Print_Area" localSheetId="28">'Outer Tank Anchors'!$J$1:$R$127</definedName>
    <definedName name="_xlnm.Print_Area" localSheetId="26">'Outer Tank Roof'!$I$1:$P$75</definedName>
    <definedName name="_xlnm.Print_Area" localSheetId="27">'Outer Tank Roof to Shell'!$S$1:$AA$107,'Outer Tank Roof to Shell'!$AB$1:$AJ$54</definedName>
    <definedName name="_xlnm.Print_Area" localSheetId="25">'Outer Tank Stiffeners'!$K$1:$S$77</definedName>
    <definedName name="_xlnm.Print_Area" localSheetId="2">'Ref Documents'!$A$1:$K$53</definedName>
    <definedName name="_xlnm.Print_Area" localSheetId="10">'Thermal calculation 1'!$M$1:$R$111,'Thermal calculation 1'!$S$1:$X$57</definedName>
    <definedName name="_xlnm.Print_Area" localSheetId="11">'Thermal calculation 2'!$A$1:$F$115,'Thermal calculation 2'!$G$1:$L$58</definedName>
    <definedName name="_xlnm.Print_Area" localSheetId="8">'Weight Calculations'!$A$1:$J$174</definedName>
    <definedName name="_xlnm.Print_Area" localSheetId="29">'Wind Forces'!$I$95:$P$176</definedName>
    <definedName name="solver_adj" localSheetId="6" hidden="1">'Main Dimensions Calcs'!$I$120,'Main Dimensions Calcs'!$O$41</definedName>
    <definedName name="solver_cvg" localSheetId="6" hidden="1">0.0001</definedName>
    <definedName name="solver_drv" localSheetId="6" hidden="1">1</definedName>
    <definedName name="solver_eng" localSheetId="6" hidden="1">1</definedName>
    <definedName name="solver_est" localSheetId="6" hidden="1">1</definedName>
    <definedName name="solver_itr" localSheetId="6" hidden="1">2147483647</definedName>
    <definedName name="solver_lhs1" localSheetId="6" hidden="1">'Main Dimensions Calcs'!$O$44</definedName>
    <definedName name="solver_mip" localSheetId="6" hidden="1">2147483647</definedName>
    <definedName name="solver_mni" localSheetId="6" hidden="1">30</definedName>
    <definedName name="solver_mrt" localSheetId="6" hidden="1">0.075</definedName>
    <definedName name="solver_msl" localSheetId="6" hidden="1">2</definedName>
    <definedName name="solver_neg" localSheetId="6" hidden="1">1</definedName>
    <definedName name="solver_nod" localSheetId="6" hidden="1">2147483647</definedName>
    <definedName name="solver_num" localSheetId="6" hidden="1">1</definedName>
    <definedName name="solver_nwt" localSheetId="6" hidden="1">1</definedName>
    <definedName name="solver_opt" localSheetId="6" hidden="1">'Main Dimensions Calcs'!$I$123</definedName>
    <definedName name="solver_pre" localSheetId="6" hidden="1">0.000001</definedName>
    <definedName name="solver_rbv" localSheetId="6" hidden="1">1</definedName>
    <definedName name="solver_rel1" localSheetId="6" hidden="1">2</definedName>
    <definedName name="solver_rhs1" localSheetId="6" hidden="1">2</definedName>
    <definedName name="solver_rlx" localSheetId="6" hidden="1">2</definedName>
    <definedName name="solver_rsd" localSheetId="6" hidden="1">0</definedName>
    <definedName name="solver_scl" localSheetId="6" hidden="1">1</definedName>
    <definedName name="solver_sho" localSheetId="6" hidden="1">2</definedName>
    <definedName name="solver_ssz" localSheetId="6" hidden="1">100</definedName>
    <definedName name="solver_tim" localSheetId="6" hidden="1">2147483647</definedName>
    <definedName name="solver_tol" localSheetId="6" hidden="1">0.01</definedName>
    <definedName name="solver_typ" localSheetId="6" hidden="1">3</definedName>
    <definedName name="solver_val" localSheetId="6" hidden="1">2</definedName>
    <definedName name="solver_ver" localSheetId="6" hidden="1">3</definedName>
    <definedName name="wrn.informe1." localSheetId="4" hidden="1">{"Datos",#N/A,TRUE,"DATOS ENTRADA";"cilindro1",#N/A,TRUE,"Cilindro P.Int.";"korbbogen",#N/A,TRUE,"Fondos P.int.";"no pasante",#N/A,TRUE,"No pasante con refuerzo"}</definedName>
    <definedName name="wrn.informe1." localSheetId="3" hidden="1">{"Datos",#N/A,TRUE,"DATOS ENTRADA";"cilindro1",#N/A,TRUE,"Cilindro P.Int.";"korbbogen",#N/A,TRUE,"Fondos P.int.";"no pasante",#N/A,TRUE,"No pasante con refuerzo"}</definedName>
    <definedName name="wrn.informe1." localSheetId="9" hidden="1">{"Datos",#N/A,TRUE,"DATOS ENTRADA";"cilindro1",#N/A,TRUE,"Cilindro P.Int.";"korbbogen",#N/A,TRUE,"Fondos P.int.";"no pasante",#N/A,TRUE,"No pasante con refuerzo"}</definedName>
    <definedName name="wrn.informe1." localSheetId="21" hidden="1">{"Datos",#N/A,TRUE,"DATOS ENTRADA";"cilindro1",#N/A,TRUE,"Cilindro P.Int.";"korbbogen",#N/A,TRUE,"Fondos P.int.";"no pasante",#N/A,TRUE,"No pasante con refuerzo"}</definedName>
    <definedName name="wrn.informe1." localSheetId="22" hidden="1">{"Datos",#N/A,TRUE,"DATOS ENTRADA";"cilindro1",#N/A,TRUE,"Cilindro P.Int.";"korbbogen",#N/A,TRUE,"Fondos P.int.";"no pasante",#N/A,TRUE,"No pasante con refuerzo"}</definedName>
    <definedName name="wrn.informe1." localSheetId="12" hidden="1">{"Datos",#N/A,TRUE,"DATOS ENTRADA";"cilindro1",#N/A,TRUE,"Cilindro P.Int.";"korbbogen",#N/A,TRUE,"Fondos P.int.";"no pasante",#N/A,TRUE,"No pasante con refuerzo"}</definedName>
    <definedName name="wrn.informe1." localSheetId="13" hidden="1">{"Datos",#N/A,TRUE,"DATOS ENTRADA";"cilindro1",#N/A,TRUE,"Cilindro P.Int.";"korbbogen",#N/A,TRUE,"Fondos P.int.";"no pasante",#N/A,TRUE,"No pasante con refuerzo"}</definedName>
    <definedName name="wrn.informe1." localSheetId="28" hidden="1">{"Datos",#N/A,TRUE,"DATOS ENTRADA";"cilindro1",#N/A,TRUE,"Cilindro P.Int.";"korbbogen",#N/A,TRUE,"Fondos P.int.";"no pasante",#N/A,TRUE,"No pasante con refuerzo"}</definedName>
    <definedName name="wrn.informe1." localSheetId="26" hidden="1">{"Datos",#N/A,TRUE,"DATOS ENTRADA";"cilindro1",#N/A,TRUE,"Cilindro P.Int.";"korbbogen",#N/A,TRUE,"Fondos P.int.";"no pasante",#N/A,TRUE,"No pasante con refuerzo"}</definedName>
    <definedName name="wrn.informe1." localSheetId="27" hidden="1">{"Datos",#N/A,TRUE,"DATOS ENTRADA";"cilindro1",#N/A,TRUE,"Cilindro P.Int.";"korbbogen",#N/A,TRUE,"Fondos P.int.";"no pasante",#N/A,TRUE,"No pasante con refuerzo"}</definedName>
    <definedName name="wrn.informe1." localSheetId="10" hidden="1">{"Datos",#N/A,TRUE,"DATOS ENTRADA";"cilindro1",#N/A,TRUE,"Cilindro P.Int.";"korbbogen",#N/A,TRUE,"Fondos P.int.";"no pasante",#N/A,TRUE,"No pasante con refuerzo"}</definedName>
    <definedName name="wrn.informe1." localSheetId="29" hidden="1">{"Datos",#N/A,TRUE,"DATOS ENTRADA";"cilindro1",#N/A,TRUE,"Cilindro P.Int.";"korbbogen",#N/A,TRUE,"Fondos P.int.";"no pasante",#N/A,TRUE,"No pasante con refuerzo"}</definedName>
    <definedName name="wrn.informe1." hidden="1">{"Datos",#N/A,TRUE,"DATOS ENTRADA";"cilindro1",#N/A,TRUE,"Cilindro P.Int.";"korbbogen",#N/A,TRUE,"Fondos P.int.";"no pasante",#N/A,TRUE,"No pasante con refuerzo"}</definedName>
    <definedName name="wrn.onforme11." localSheetId="4" hidden="1">{"Datos",#N/A,TRUE,"DATOS ENTRADA";"cilindro1",#N/A,TRUE,"Cilindro P.Int.";"korbbogen",#N/A,TRUE,"Fondos P.int.";"no pasante",#N/A,TRUE,"No pasante con refuerzo"}</definedName>
    <definedName name="wrn.onforme11." localSheetId="3" hidden="1">{"Datos",#N/A,TRUE,"DATOS ENTRADA";"cilindro1",#N/A,TRUE,"Cilindro P.Int.";"korbbogen",#N/A,TRUE,"Fondos P.int.";"no pasante",#N/A,TRUE,"No pasante con refuerzo"}</definedName>
    <definedName name="wrn.onforme11." localSheetId="9" hidden="1">{"Datos",#N/A,TRUE,"DATOS ENTRADA";"cilindro1",#N/A,TRUE,"Cilindro P.Int.";"korbbogen",#N/A,TRUE,"Fondos P.int.";"no pasante",#N/A,TRUE,"No pasante con refuerzo"}</definedName>
    <definedName name="wrn.onforme11." localSheetId="21" hidden="1">{"Datos",#N/A,TRUE,"DATOS ENTRADA";"cilindro1",#N/A,TRUE,"Cilindro P.Int.";"korbbogen",#N/A,TRUE,"Fondos P.int.";"no pasante",#N/A,TRUE,"No pasante con refuerzo"}</definedName>
    <definedName name="wrn.onforme11." localSheetId="22" hidden="1">{"Datos",#N/A,TRUE,"DATOS ENTRADA";"cilindro1",#N/A,TRUE,"Cilindro P.Int.";"korbbogen",#N/A,TRUE,"Fondos P.int.";"no pasante",#N/A,TRUE,"No pasante con refuerzo"}</definedName>
    <definedName name="wrn.onforme11." localSheetId="12" hidden="1">{"Datos",#N/A,TRUE,"DATOS ENTRADA";"cilindro1",#N/A,TRUE,"Cilindro P.Int.";"korbbogen",#N/A,TRUE,"Fondos P.int.";"no pasante",#N/A,TRUE,"No pasante con refuerzo"}</definedName>
    <definedName name="wrn.onforme11." localSheetId="13" hidden="1">{"Datos",#N/A,TRUE,"DATOS ENTRADA";"cilindro1",#N/A,TRUE,"Cilindro P.Int.";"korbbogen",#N/A,TRUE,"Fondos P.int.";"no pasante",#N/A,TRUE,"No pasante con refuerzo"}</definedName>
    <definedName name="wrn.onforme11." localSheetId="28" hidden="1">{"Datos",#N/A,TRUE,"DATOS ENTRADA";"cilindro1",#N/A,TRUE,"Cilindro P.Int.";"korbbogen",#N/A,TRUE,"Fondos P.int.";"no pasante",#N/A,TRUE,"No pasante con refuerzo"}</definedName>
    <definedName name="wrn.onforme11." localSheetId="26" hidden="1">{"Datos",#N/A,TRUE,"DATOS ENTRADA";"cilindro1",#N/A,TRUE,"Cilindro P.Int.";"korbbogen",#N/A,TRUE,"Fondos P.int.";"no pasante",#N/A,TRUE,"No pasante con refuerzo"}</definedName>
    <definedName name="wrn.onforme11." localSheetId="27" hidden="1">{"Datos",#N/A,TRUE,"DATOS ENTRADA";"cilindro1",#N/A,TRUE,"Cilindro P.Int.";"korbbogen",#N/A,TRUE,"Fondos P.int.";"no pasante",#N/A,TRUE,"No pasante con refuerzo"}</definedName>
    <definedName name="wrn.onforme11." localSheetId="10" hidden="1">{"Datos",#N/A,TRUE,"DATOS ENTRADA";"cilindro1",#N/A,TRUE,"Cilindro P.Int.";"korbbogen",#N/A,TRUE,"Fondos P.int.";"no pasante",#N/A,TRUE,"No pasante con refuerzo"}</definedName>
    <definedName name="wrn.onforme11." localSheetId="29" hidden="1">{"Datos",#N/A,TRUE,"DATOS ENTRADA";"cilindro1",#N/A,TRUE,"Cilindro P.Int.";"korbbogen",#N/A,TRUE,"Fondos P.int.";"no pasante",#N/A,TRUE,"No pasante con refuerzo"}</definedName>
    <definedName name="wrn.onforme11." hidden="1">{"Datos",#N/A,TRUE,"DATOS ENTRADA";"cilindro1",#N/A,TRUE,"Cilindro P.Int.";"korbbogen",#N/A,TRUE,"Fondos P.int.";"no pasante",#N/A,TRUE,"No pasante con refuerzo"}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6" l="1"/>
  <c r="K26" i="36"/>
  <c r="B12" i="31"/>
  <c r="B9" i="31"/>
  <c r="D30" i="7"/>
  <c r="O51" i="39"/>
  <c r="O30" i="39"/>
  <c r="P30" i="39" s="1"/>
  <c r="O29" i="39"/>
  <c r="P29" i="39" s="1"/>
  <c r="O28" i="39"/>
  <c r="P28" i="39" s="1"/>
  <c r="O27" i="39"/>
  <c r="P27" i="39" s="1"/>
  <c r="O26" i="39"/>
  <c r="P26" i="39" s="1"/>
  <c r="O25" i="39"/>
  <c r="P25" i="39" s="1"/>
  <c r="O24" i="39"/>
  <c r="P24" i="39" s="1"/>
  <c r="O23" i="39"/>
  <c r="P23" i="39" s="1"/>
  <c r="B15" i="39"/>
  <c r="K14" i="39"/>
  <c r="B14" i="39"/>
  <c r="B13" i="39"/>
  <c r="K12" i="39"/>
  <c r="B12" i="39"/>
  <c r="K11" i="39"/>
  <c r="O38" i="39" s="1"/>
  <c r="B11" i="39"/>
  <c r="F38" i="39" s="1"/>
  <c r="D1" i="39"/>
  <c r="K74" i="38"/>
  <c r="B58" i="38"/>
  <c r="K37" i="38"/>
  <c r="K36" i="38"/>
  <c r="B35" i="38"/>
  <c r="K34" i="38"/>
  <c r="K33" i="38"/>
  <c r="B32" i="38"/>
  <c r="K29" i="38"/>
  <c r="B28" i="38"/>
  <c r="B26" i="38"/>
  <c r="M1" i="38"/>
  <c r="M60" i="38" s="1"/>
  <c r="N72" i="37"/>
  <c r="M72" i="37"/>
  <c r="O72" i="37" s="1"/>
  <c r="I72" i="37"/>
  <c r="G72" i="37"/>
  <c r="C72" i="37"/>
  <c r="A72" i="37"/>
  <c r="N71" i="37"/>
  <c r="M71" i="37"/>
  <c r="O71" i="37" s="1"/>
  <c r="I71" i="37"/>
  <c r="G71" i="37"/>
  <c r="C71" i="37"/>
  <c r="A71" i="37"/>
  <c r="N70" i="37"/>
  <c r="M70" i="37"/>
  <c r="O70" i="37" s="1"/>
  <c r="I70" i="37"/>
  <c r="G70" i="37"/>
  <c r="C70" i="37"/>
  <c r="A70" i="37"/>
  <c r="N69" i="37"/>
  <c r="M69" i="37"/>
  <c r="O69" i="37" s="1"/>
  <c r="I69" i="37"/>
  <c r="G69" i="37"/>
  <c r="C69" i="37"/>
  <c r="A69" i="37"/>
  <c r="N68" i="37"/>
  <c r="M68" i="37"/>
  <c r="O68" i="37" s="1"/>
  <c r="I68" i="37"/>
  <c r="G68" i="37"/>
  <c r="C68" i="37"/>
  <c r="A68" i="37"/>
  <c r="L64" i="37"/>
  <c r="L63" i="37"/>
  <c r="L60" i="37"/>
  <c r="D60" i="37"/>
  <c r="L54" i="37"/>
  <c r="I54" i="37"/>
  <c r="C54" i="37"/>
  <c r="B54" i="37"/>
  <c r="E54" i="37" s="1"/>
  <c r="F54" i="37" s="1"/>
  <c r="G34" i="37" s="1"/>
  <c r="A54" i="37"/>
  <c r="L53" i="37"/>
  <c r="I53" i="37"/>
  <c r="C53" i="37"/>
  <c r="B53" i="37"/>
  <c r="E53" i="37" s="1"/>
  <c r="F53" i="37" s="1"/>
  <c r="A53" i="37"/>
  <c r="L52" i="37"/>
  <c r="I52" i="37"/>
  <c r="C52" i="37"/>
  <c r="B52" i="37"/>
  <c r="E52" i="37" s="1"/>
  <c r="F52" i="37" s="1"/>
  <c r="A52" i="37"/>
  <c r="L51" i="37"/>
  <c r="I51" i="37"/>
  <c r="C51" i="37"/>
  <c r="B51" i="37"/>
  <c r="E51" i="37" s="1"/>
  <c r="F51" i="37" s="1"/>
  <c r="A51" i="37"/>
  <c r="L50" i="37"/>
  <c r="I50" i="37"/>
  <c r="C50" i="37"/>
  <c r="B50" i="37"/>
  <c r="E50" i="37" s="1"/>
  <c r="F50" i="37" s="1"/>
  <c r="A50" i="37"/>
  <c r="E47" i="37"/>
  <c r="C47" i="37"/>
  <c r="B47" i="37"/>
  <c r="A47" i="37"/>
  <c r="E46" i="37"/>
  <c r="C46" i="37"/>
  <c r="B46" i="37"/>
  <c r="A46" i="37"/>
  <c r="C45" i="37"/>
  <c r="B45" i="37"/>
  <c r="E45" i="37" s="1"/>
  <c r="A45" i="37"/>
  <c r="I44" i="37"/>
  <c r="E44" i="37"/>
  <c r="D72" i="37" s="1"/>
  <c r="B72" i="37" s="1"/>
  <c r="C44" i="37"/>
  <c r="B44" i="37"/>
  <c r="A44" i="37"/>
  <c r="I43" i="37"/>
  <c r="C43" i="37"/>
  <c r="B43" i="37"/>
  <c r="E43" i="37" s="1"/>
  <c r="D71" i="37" s="1"/>
  <c r="B71" i="37" s="1"/>
  <c r="A43" i="37"/>
  <c r="I42" i="37"/>
  <c r="C42" i="37"/>
  <c r="B42" i="37"/>
  <c r="E42" i="37" s="1"/>
  <c r="D70" i="37" s="1"/>
  <c r="B70" i="37" s="1"/>
  <c r="A42" i="37"/>
  <c r="I41" i="37"/>
  <c r="C41" i="37"/>
  <c r="B41" i="37"/>
  <c r="E41" i="37" s="1"/>
  <c r="D69" i="37" s="1"/>
  <c r="B69" i="37" s="1"/>
  <c r="A41" i="37"/>
  <c r="I40" i="37"/>
  <c r="C40" i="37"/>
  <c r="B40" i="37"/>
  <c r="E40" i="37" s="1"/>
  <c r="D68" i="37" s="1"/>
  <c r="B68" i="37" s="1"/>
  <c r="A40" i="37"/>
  <c r="M34" i="37"/>
  <c r="L34" i="37"/>
  <c r="K34" i="37"/>
  <c r="J34" i="37"/>
  <c r="M33" i="37"/>
  <c r="L33" i="37"/>
  <c r="K33" i="37"/>
  <c r="J33" i="37"/>
  <c r="M32" i="37"/>
  <c r="L32" i="37"/>
  <c r="K32" i="37"/>
  <c r="J32" i="37"/>
  <c r="M31" i="37"/>
  <c r="L31" i="37"/>
  <c r="K31" i="37"/>
  <c r="J31" i="37"/>
  <c r="M30" i="37"/>
  <c r="L30" i="37"/>
  <c r="K30" i="37"/>
  <c r="J30" i="37"/>
  <c r="L5" i="37"/>
  <c r="F5" i="37"/>
  <c r="L4" i="37"/>
  <c r="L1" i="37"/>
  <c r="P29" i="36"/>
  <c r="M5" i="36"/>
  <c r="D5" i="36"/>
  <c r="M4" i="36"/>
  <c r="D4" i="36"/>
  <c r="M1" i="36"/>
  <c r="D1" i="36"/>
  <c r="X75" i="35"/>
  <c r="H75" i="35"/>
  <c r="Y75" i="35" s="1"/>
  <c r="U59" i="35"/>
  <c r="D59" i="35"/>
  <c r="U58" i="35"/>
  <c r="D58" i="35"/>
  <c r="U55" i="35"/>
  <c r="D55" i="35"/>
  <c r="B27" i="35"/>
  <c r="B26" i="35"/>
  <c r="S26" i="35" s="1"/>
  <c r="B25" i="35"/>
  <c r="B24" i="35"/>
  <c r="B19" i="35"/>
  <c r="S19" i="35" s="1"/>
  <c r="B11" i="35"/>
  <c r="B10" i="35"/>
  <c r="B9" i="35"/>
  <c r="AD5" i="35"/>
  <c r="U5" i="35"/>
  <c r="M5" i="35"/>
  <c r="D5" i="35"/>
  <c r="AD4" i="35"/>
  <c r="U4" i="35"/>
  <c r="M4" i="35"/>
  <c r="D4" i="35"/>
  <c r="AD1" i="35"/>
  <c r="U1" i="35"/>
  <c r="M1" i="35"/>
  <c r="D1" i="35"/>
  <c r="E146" i="34"/>
  <c r="M146" i="34" s="1"/>
  <c r="E145" i="34"/>
  <c r="M145" i="34" s="1"/>
  <c r="E144" i="34"/>
  <c r="M144" i="34" s="1"/>
  <c r="E143" i="34"/>
  <c r="M143" i="34" s="1"/>
  <c r="E142" i="34"/>
  <c r="M142" i="34" s="1"/>
  <c r="E141" i="34"/>
  <c r="M141" i="34" s="1"/>
  <c r="E140" i="34"/>
  <c r="M140" i="34" s="1"/>
  <c r="E139" i="34"/>
  <c r="M139" i="34" s="1"/>
  <c r="E138" i="34"/>
  <c r="M138" i="34" s="1"/>
  <c r="E137" i="34"/>
  <c r="M137" i="34" s="1"/>
  <c r="D137" i="34"/>
  <c r="L127" i="34"/>
  <c r="D127" i="34"/>
  <c r="L126" i="34"/>
  <c r="D126" i="34"/>
  <c r="L123" i="34"/>
  <c r="D123" i="34"/>
  <c r="L87" i="34"/>
  <c r="D87" i="34"/>
  <c r="L86" i="34"/>
  <c r="D86" i="34"/>
  <c r="L83" i="34"/>
  <c r="D83" i="34"/>
  <c r="J58" i="34"/>
  <c r="J56" i="34"/>
  <c r="L46" i="34"/>
  <c r="D46" i="34"/>
  <c r="L45" i="34"/>
  <c r="D45" i="34"/>
  <c r="L42" i="34"/>
  <c r="D42" i="34"/>
  <c r="J39" i="34"/>
  <c r="B37" i="34"/>
  <c r="B36" i="34"/>
  <c r="B31" i="34"/>
  <c r="B30" i="34"/>
  <c r="J30" i="34" s="1"/>
  <c r="J28" i="34"/>
  <c r="J27" i="34"/>
  <c r="J26" i="34"/>
  <c r="B19" i="34"/>
  <c r="J19" i="34" s="1"/>
  <c r="J18" i="34"/>
  <c r="J17" i="34"/>
  <c r="J16" i="34"/>
  <c r="J15" i="34"/>
  <c r="J11" i="34"/>
  <c r="J10" i="34"/>
  <c r="B9" i="34"/>
  <c r="J9" i="34" s="1"/>
  <c r="L5" i="34"/>
  <c r="D5" i="34"/>
  <c r="L4" i="34"/>
  <c r="D4" i="34"/>
  <c r="L1" i="34"/>
  <c r="D1" i="34"/>
  <c r="O208" i="33"/>
  <c r="N208" i="33"/>
  <c r="J208" i="33"/>
  <c r="B175" i="33"/>
  <c r="J175" i="33" s="1"/>
  <c r="B173" i="33"/>
  <c r="J173" i="33" s="1"/>
  <c r="B172" i="33"/>
  <c r="L163" i="33"/>
  <c r="D163" i="33"/>
  <c r="L162" i="33"/>
  <c r="D162" i="33"/>
  <c r="L159" i="33"/>
  <c r="D159" i="33"/>
  <c r="V157" i="33"/>
  <c r="V155" i="33"/>
  <c r="V154" i="33"/>
  <c r="B152" i="33"/>
  <c r="K146" i="33"/>
  <c r="E146" i="33"/>
  <c r="M146" i="33" s="1"/>
  <c r="C146" i="33"/>
  <c r="E145" i="33"/>
  <c r="M145" i="33" s="1"/>
  <c r="E144" i="33"/>
  <c r="M144" i="33" s="1"/>
  <c r="E143" i="33"/>
  <c r="M143" i="33" s="1"/>
  <c r="E142" i="33"/>
  <c r="M142" i="33" s="1"/>
  <c r="E141" i="33"/>
  <c r="M141" i="33" s="1"/>
  <c r="E140" i="33"/>
  <c r="M140" i="33" s="1"/>
  <c r="E139" i="33"/>
  <c r="M139" i="33" s="1"/>
  <c r="E138" i="33"/>
  <c r="M138" i="33" s="1"/>
  <c r="D138" i="33"/>
  <c r="L128" i="33"/>
  <c r="D128" i="33"/>
  <c r="L127" i="33"/>
  <c r="D127" i="33"/>
  <c r="L124" i="33"/>
  <c r="D124" i="33"/>
  <c r="B119" i="33"/>
  <c r="U115" i="33"/>
  <c r="U114" i="33"/>
  <c r="L90" i="33"/>
  <c r="D90" i="33"/>
  <c r="L89" i="33"/>
  <c r="D89" i="33"/>
  <c r="L86" i="33"/>
  <c r="D86" i="33"/>
  <c r="J60" i="33"/>
  <c r="J59" i="33"/>
  <c r="L46" i="33"/>
  <c r="D46" i="33"/>
  <c r="L45" i="33"/>
  <c r="D45" i="33"/>
  <c r="L42" i="33"/>
  <c r="D42" i="33"/>
  <c r="B37" i="33"/>
  <c r="B36" i="33"/>
  <c r="B35" i="33"/>
  <c r="B31" i="33"/>
  <c r="B30" i="33"/>
  <c r="J30" i="33" s="1"/>
  <c r="J27" i="33"/>
  <c r="J26" i="33"/>
  <c r="B19" i="33"/>
  <c r="J19" i="33" s="1"/>
  <c r="J18" i="33"/>
  <c r="J17" i="33"/>
  <c r="J16" i="33"/>
  <c r="J15" i="33"/>
  <c r="J14" i="33"/>
  <c r="B13" i="33"/>
  <c r="B12" i="33"/>
  <c r="J11" i="33"/>
  <c r="J10" i="33"/>
  <c r="L5" i="33"/>
  <c r="D5" i="33"/>
  <c r="L4" i="33"/>
  <c r="D4" i="33"/>
  <c r="L2" i="33"/>
  <c r="D2" i="33"/>
  <c r="L1" i="33"/>
  <c r="D1" i="33"/>
  <c r="J210" i="32"/>
  <c r="O205" i="32"/>
  <c r="N205" i="32"/>
  <c r="J205" i="32"/>
  <c r="B174" i="32"/>
  <c r="J174" i="32" s="1"/>
  <c r="B172" i="32"/>
  <c r="J172" i="32" s="1"/>
  <c r="B171" i="32"/>
  <c r="L162" i="32"/>
  <c r="D162" i="32"/>
  <c r="L161" i="32"/>
  <c r="D161" i="32"/>
  <c r="L158" i="32"/>
  <c r="D158" i="32"/>
  <c r="V156" i="32"/>
  <c r="V154" i="32"/>
  <c r="V153" i="32"/>
  <c r="B151" i="32"/>
  <c r="B149" i="32"/>
  <c r="E145" i="32"/>
  <c r="M145" i="32" s="1"/>
  <c r="E144" i="32"/>
  <c r="M144" i="32" s="1"/>
  <c r="E143" i="32"/>
  <c r="M143" i="32" s="1"/>
  <c r="E142" i="32"/>
  <c r="M142" i="32" s="1"/>
  <c r="E141" i="32"/>
  <c r="M141" i="32" s="1"/>
  <c r="E140" i="32"/>
  <c r="M140" i="32" s="1"/>
  <c r="E139" i="32"/>
  <c r="M139" i="32" s="1"/>
  <c r="E138" i="32"/>
  <c r="M138" i="32" s="1"/>
  <c r="D138" i="32"/>
  <c r="A138" i="32"/>
  <c r="I138" i="32" s="1"/>
  <c r="L128" i="32"/>
  <c r="D128" i="32"/>
  <c r="L127" i="32"/>
  <c r="D127" i="32"/>
  <c r="L125" i="32"/>
  <c r="L124" i="32"/>
  <c r="D124" i="32"/>
  <c r="B119" i="32"/>
  <c r="U115" i="32"/>
  <c r="U114" i="32"/>
  <c r="L90" i="32"/>
  <c r="D90" i="32"/>
  <c r="L89" i="32"/>
  <c r="D89" i="32"/>
  <c r="L86" i="32"/>
  <c r="D86" i="32"/>
  <c r="B61" i="32"/>
  <c r="J61" i="32" s="1"/>
  <c r="J60" i="32"/>
  <c r="J59" i="32"/>
  <c r="B58" i="32"/>
  <c r="J58" i="32" s="1"/>
  <c r="J57" i="32"/>
  <c r="B56" i="32"/>
  <c r="J56" i="32" s="1"/>
  <c r="L46" i="32"/>
  <c r="D46" i="32"/>
  <c r="L45" i="32"/>
  <c r="D45" i="32"/>
  <c r="L42" i="32"/>
  <c r="D42" i="32"/>
  <c r="B36" i="32"/>
  <c r="J36" i="32" s="1"/>
  <c r="B31" i="32"/>
  <c r="B30" i="32"/>
  <c r="J30" i="32" s="1"/>
  <c r="J27" i="32"/>
  <c r="J19" i="32"/>
  <c r="B18" i="32"/>
  <c r="J18" i="32" s="1"/>
  <c r="J17" i="32"/>
  <c r="J16" i="32"/>
  <c r="J15" i="32"/>
  <c r="B13" i="32"/>
  <c r="J13" i="32" s="1"/>
  <c r="J12" i="32"/>
  <c r="J11" i="32"/>
  <c r="J10" i="32"/>
  <c r="B9" i="32"/>
  <c r="J9" i="32" s="1"/>
  <c r="L5" i="32"/>
  <c r="D5" i="32"/>
  <c r="L4" i="32"/>
  <c r="D4" i="32"/>
  <c r="L1" i="32"/>
  <c r="D1" i="32"/>
  <c r="O205" i="31"/>
  <c r="N205" i="31"/>
  <c r="J205" i="31"/>
  <c r="B172" i="31"/>
  <c r="J172" i="31" s="1"/>
  <c r="B171" i="31"/>
  <c r="L162" i="31"/>
  <c r="D162" i="31"/>
  <c r="L161" i="31"/>
  <c r="D161" i="31"/>
  <c r="L158" i="31"/>
  <c r="D158" i="31"/>
  <c r="V154" i="31"/>
  <c r="V153" i="31"/>
  <c r="E145" i="31"/>
  <c r="M145" i="31" s="1"/>
  <c r="E144" i="31"/>
  <c r="M144" i="31" s="1"/>
  <c r="E143" i="31"/>
  <c r="M143" i="31" s="1"/>
  <c r="E142" i="31"/>
  <c r="M142" i="31" s="1"/>
  <c r="E141" i="31"/>
  <c r="M141" i="31" s="1"/>
  <c r="E140" i="31"/>
  <c r="M140" i="31" s="1"/>
  <c r="E139" i="31"/>
  <c r="M139" i="31" s="1"/>
  <c r="E138" i="31"/>
  <c r="M138" i="31" s="1"/>
  <c r="L128" i="31"/>
  <c r="D128" i="31"/>
  <c r="L127" i="31"/>
  <c r="D127" i="31"/>
  <c r="L125" i="31"/>
  <c r="L124" i="31"/>
  <c r="D124" i="31"/>
  <c r="B119" i="31"/>
  <c r="U115" i="31"/>
  <c r="U114" i="31"/>
  <c r="L90" i="31"/>
  <c r="D90" i="31"/>
  <c r="L89" i="31"/>
  <c r="D89" i="31"/>
  <c r="L87" i="31"/>
  <c r="L86" i="31"/>
  <c r="D86" i="31"/>
  <c r="B61" i="31"/>
  <c r="J61" i="31" s="1"/>
  <c r="J60" i="31"/>
  <c r="J59" i="31"/>
  <c r="B58" i="31"/>
  <c r="J58" i="31" s="1"/>
  <c r="J57" i="31"/>
  <c r="B56" i="31"/>
  <c r="L46" i="31"/>
  <c r="I46" i="31"/>
  <c r="D46" i="31"/>
  <c r="L45" i="31"/>
  <c r="I45" i="31"/>
  <c r="D45" i="31"/>
  <c r="L42" i="31"/>
  <c r="D42" i="31"/>
  <c r="B36" i="31"/>
  <c r="B31" i="31"/>
  <c r="B30" i="31"/>
  <c r="J30" i="31" s="1"/>
  <c r="J27" i="31"/>
  <c r="J19" i="31"/>
  <c r="J18" i="31"/>
  <c r="J17" i="31"/>
  <c r="J16" i="31"/>
  <c r="J15" i="31"/>
  <c r="B14" i="31"/>
  <c r="J13" i="31"/>
  <c r="J12" i="31"/>
  <c r="J11" i="31"/>
  <c r="J10" i="31"/>
  <c r="J9" i="31"/>
  <c r="L5" i="31"/>
  <c r="D5" i="31"/>
  <c r="L4" i="31"/>
  <c r="D4" i="31"/>
  <c r="L1" i="31"/>
  <c r="D1" i="31"/>
  <c r="L150" i="30"/>
  <c r="L149" i="30"/>
  <c r="L146" i="30"/>
  <c r="J126" i="30"/>
  <c r="J124" i="30"/>
  <c r="J121" i="30"/>
  <c r="J120" i="30"/>
  <c r="J119" i="30"/>
  <c r="J108" i="30"/>
  <c r="L99" i="30"/>
  <c r="D99" i="30"/>
  <c r="L98" i="30"/>
  <c r="D98" i="30"/>
  <c r="L95" i="30"/>
  <c r="D95" i="30"/>
  <c r="J80" i="30"/>
  <c r="B80" i="30"/>
  <c r="J78" i="30"/>
  <c r="B78" i="30"/>
  <c r="J76" i="30"/>
  <c r="B76" i="30"/>
  <c r="B62" i="30"/>
  <c r="J62" i="30" s="1"/>
  <c r="L56" i="30"/>
  <c r="D56" i="30"/>
  <c r="L55" i="30"/>
  <c r="D55" i="30"/>
  <c r="L54" i="30"/>
  <c r="D54" i="30"/>
  <c r="L52" i="30"/>
  <c r="D52" i="30"/>
  <c r="R45" i="30"/>
  <c r="J25" i="30"/>
  <c r="J112" i="30" s="1"/>
  <c r="B25" i="30"/>
  <c r="V20" i="30"/>
  <c r="S29" i="30" s="1"/>
  <c r="S30" i="30" s="1"/>
  <c r="J20" i="30"/>
  <c r="V19" i="30"/>
  <c r="B18" i="30"/>
  <c r="Z16" i="30"/>
  <c r="Z22" i="30" s="1"/>
  <c r="AB11" i="30"/>
  <c r="T11" i="30"/>
  <c r="L11" i="30"/>
  <c r="D11" i="30"/>
  <c r="AB10" i="30"/>
  <c r="T10" i="30"/>
  <c r="L10" i="30"/>
  <c r="D10" i="30"/>
  <c r="T9" i="30"/>
  <c r="AB9" i="30" s="1"/>
  <c r="AB8" i="30"/>
  <c r="AB7" i="30"/>
  <c r="T7" i="30"/>
  <c r="L7" i="30"/>
  <c r="D7" i="30"/>
  <c r="K118" i="29"/>
  <c r="Q117" i="29"/>
  <c r="Q115" i="29"/>
  <c r="P115" i="29"/>
  <c r="R110" i="29"/>
  <c r="P123" i="29" s="1"/>
  <c r="K110" i="29"/>
  <c r="R105" i="29"/>
  <c r="P119" i="29" s="1"/>
  <c r="K103" i="29"/>
  <c r="P102" i="29"/>
  <c r="M95" i="29"/>
  <c r="M94" i="29"/>
  <c r="M91" i="29"/>
  <c r="K84" i="29"/>
  <c r="M59" i="29"/>
  <c r="D59" i="29"/>
  <c r="M58" i="29"/>
  <c r="D58" i="29"/>
  <c r="M55" i="29"/>
  <c r="D55" i="29"/>
  <c r="B46" i="29"/>
  <c r="K45" i="29"/>
  <c r="B19" i="29"/>
  <c r="K19" i="29" s="1"/>
  <c r="B18" i="29"/>
  <c r="B16" i="29"/>
  <c r="K16" i="29" s="1"/>
  <c r="K12" i="29"/>
  <c r="B11" i="29"/>
  <c r="M5" i="29"/>
  <c r="D5" i="29"/>
  <c r="M4" i="29"/>
  <c r="D4" i="29"/>
  <c r="M1" i="29"/>
  <c r="D1" i="29"/>
  <c r="T105" i="28"/>
  <c r="G104" i="28"/>
  <c r="T103" i="28"/>
  <c r="T102" i="28"/>
  <c r="C102" i="28"/>
  <c r="T101" i="28"/>
  <c r="G101" i="28"/>
  <c r="U101" i="28" s="1"/>
  <c r="T100" i="28"/>
  <c r="T99" i="28"/>
  <c r="T98" i="28"/>
  <c r="T97" i="28"/>
  <c r="V59" i="28"/>
  <c r="D59" i="28"/>
  <c r="V58" i="28"/>
  <c r="D58" i="28"/>
  <c r="V55" i="28"/>
  <c r="D55" i="28"/>
  <c r="B21" i="28"/>
  <c r="T21" i="28" s="1"/>
  <c r="B19" i="28"/>
  <c r="B18" i="28"/>
  <c r="T17" i="28"/>
  <c r="B16" i="28"/>
  <c r="AE5" i="28"/>
  <c r="V5" i="28"/>
  <c r="M5" i="28"/>
  <c r="D5" i="28"/>
  <c r="AE4" i="28"/>
  <c r="V4" i="28"/>
  <c r="M4" i="28"/>
  <c r="D4" i="28"/>
  <c r="AE1" i="28"/>
  <c r="V1" i="28"/>
  <c r="M1" i="28"/>
  <c r="D1" i="28"/>
  <c r="E71" i="27"/>
  <c r="M71" i="27" s="1"/>
  <c r="D71" i="27"/>
  <c r="L71" i="27" s="1"/>
  <c r="A51" i="27"/>
  <c r="A50" i="27"/>
  <c r="A49" i="27"/>
  <c r="L41" i="27"/>
  <c r="D41" i="27"/>
  <c r="L40" i="27"/>
  <c r="D40" i="27"/>
  <c r="L38" i="27"/>
  <c r="D38" i="27"/>
  <c r="L37" i="27"/>
  <c r="D37" i="27"/>
  <c r="U36" i="27"/>
  <c r="T35" i="27"/>
  <c r="I33" i="27"/>
  <c r="B33" i="27"/>
  <c r="A33" i="27"/>
  <c r="I32" i="27"/>
  <c r="B32" i="27"/>
  <c r="A32" i="27"/>
  <c r="I31" i="27"/>
  <c r="B31" i="27"/>
  <c r="A31" i="27"/>
  <c r="U28" i="27"/>
  <c r="T27" i="27"/>
  <c r="M26" i="27"/>
  <c r="M25" i="27"/>
  <c r="D25" i="27"/>
  <c r="D24" i="27"/>
  <c r="B20" i="27"/>
  <c r="J20" i="27" s="1"/>
  <c r="AI12" i="28" s="1"/>
  <c r="B9" i="27"/>
  <c r="L5" i="27"/>
  <c r="D5" i="27"/>
  <c r="L4" i="27"/>
  <c r="D4" i="27"/>
  <c r="L2" i="27"/>
  <c r="L1" i="27"/>
  <c r="D1" i="27"/>
  <c r="M67" i="26"/>
  <c r="B67" i="26"/>
  <c r="M66" i="26"/>
  <c r="B66" i="26"/>
  <c r="M65" i="26"/>
  <c r="B65" i="26"/>
  <c r="M64" i="26"/>
  <c r="B64" i="26"/>
  <c r="M63" i="26"/>
  <c r="B63" i="26"/>
  <c r="M62" i="26"/>
  <c r="B62" i="26"/>
  <c r="N55" i="26"/>
  <c r="D55" i="26"/>
  <c r="N54" i="26"/>
  <c r="D54" i="26"/>
  <c r="N51" i="26"/>
  <c r="D51" i="26"/>
  <c r="L42" i="26"/>
  <c r="B37" i="26"/>
  <c r="L37" i="26" s="1"/>
  <c r="A37" i="26"/>
  <c r="B36" i="26"/>
  <c r="L36" i="26" s="1"/>
  <c r="A36" i="26"/>
  <c r="B35" i="26"/>
  <c r="L35" i="26" s="1"/>
  <c r="A35" i="26"/>
  <c r="B34" i="26"/>
  <c r="L34" i="26" s="1"/>
  <c r="A34" i="26"/>
  <c r="B33" i="26"/>
  <c r="L33" i="26" s="1"/>
  <c r="A33" i="26"/>
  <c r="B32" i="26"/>
  <c r="L32" i="26" s="1"/>
  <c r="A32" i="26"/>
  <c r="B31" i="26"/>
  <c r="L31" i="26" s="1"/>
  <c r="A31" i="26"/>
  <c r="B30" i="26"/>
  <c r="L30" i="26" s="1"/>
  <c r="A30" i="26"/>
  <c r="B29" i="26"/>
  <c r="L29" i="26" s="1"/>
  <c r="A29" i="26"/>
  <c r="B28" i="26"/>
  <c r="L28" i="26" s="1"/>
  <c r="A28" i="26"/>
  <c r="V23" i="26"/>
  <c r="B20" i="26"/>
  <c r="L20" i="26" s="1"/>
  <c r="B19" i="26"/>
  <c r="L14" i="26"/>
  <c r="Z11" i="26"/>
  <c r="Y11" i="26"/>
  <c r="AB5" i="26"/>
  <c r="AD11" i="26" s="1"/>
  <c r="AE11" i="26" s="1"/>
  <c r="N5" i="26"/>
  <c r="D5" i="26"/>
  <c r="N4" i="26"/>
  <c r="D4" i="26"/>
  <c r="N1" i="26"/>
  <c r="D1" i="26"/>
  <c r="L148" i="25"/>
  <c r="L147" i="25"/>
  <c r="L144" i="25"/>
  <c r="L132" i="25"/>
  <c r="L98" i="25"/>
  <c r="D98" i="25"/>
  <c r="L97" i="25"/>
  <c r="D97" i="25"/>
  <c r="L94" i="25"/>
  <c r="D94" i="25"/>
  <c r="P46" i="25"/>
  <c r="M46" i="25"/>
  <c r="L46" i="25"/>
  <c r="I46" i="25"/>
  <c r="H46" i="25"/>
  <c r="E46" i="25"/>
  <c r="D46" i="25"/>
  <c r="A46" i="25"/>
  <c r="M45" i="25"/>
  <c r="L45" i="25"/>
  <c r="I45" i="25"/>
  <c r="E45" i="25"/>
  <c r="D45" i="25"/>
  <c r="A45" i="25"/>
  <c r="L43" i="25"/>
  <c r="D43" i="25"/>
  <c r="L42" i="25"/>
  <c r="D42" i="25"/>
  <c r="C37" i="25"/>
  <c r="K37" i="25" s="1"/>
  <c r="B37" i="25"/>
  <c r="C36" i="25"/>
  <c r="K36" i="25" s="1"/>
  <c r="B36" i="25"/>
  <c r="C35" i="25"/>
  <c r="K35" i="25" s="1"/>
  <c r="B35" i="25"/>
  <c r="C34" i="25"/>
  <c r="K34" i="25" s="1"/>
  <c r="B34" i="25"/>
  <c r="C33" i="25"/>
  <c r="K33" i="25" s="1"/>
  <c r="B33" i="25"/>
  <c r="C32" i="25"/>
  <c r="K32" i="25" s="1"/>
  <c r="B32" i="25"/>
  <c r="C31" i="25"/>
  <c r="K31" i="25" s="1"/>
  <c r="B31" i="25"/>
  <c r="C30" i="25"/>
  <c r="K30" i="25" s="1"/>
  <c r="B30" i="25"/>
  <c r="C29" i="25"/>
  <c r="K29" i="25" s="1"/>
  <c r="B29" i="25"/>
  <c r="C28" i="25"/>
  <c r="K28" i="25" s="1"/>
  <c r="B28" i="25"/>
  <c r="B20" i="25"/>
  <c r="B17" i="25"/>
  <c r="J17" i="25" s="1"/>
  <c r="J15" i="25"/>
  <c r="B14" i="25"/>
  <c r="B13" i="25"/>
  <c r="B11" i="25"/>
  <c r="J11" i="25" s="1"/>
  <c r="L5" i="25"/>
  <c r="D5" i="25"/>
  <c r="L4" i="25"/>
  <c r="D4" i="25"/>
  <c r="L1" i="25"/>
  <c r="D1" i="25"/>
  <c r="B188" i="24"/>
  <c r="K187" i="24"/>
  <c r="B176" i="24"/>
  <c r="K175" i="24"/>
  <c r="B165" i="24"/>
  <c r="K165" i="24" s="1"/>
  <c r="R157" i="24"/>
  <c r="O157" i="24"/>
  <c r="M157" i="24"/>
  <c r="J157" i="24"/>
  <c r="I157" i="24"/>
  <c r="F157" i="24"/>
  <c r="D157" i="24"/>
  <c r="A157" i="24"/>
  <c r="O156" i="24"/>
  <c r="M156" i="24"/>
  <c r="J156" i="24"/>
  <c r="F156" i="24"/>
  <c r="D156" i="24"/>
  <c r="A156" i="24"/>
  <c r="M154" i="24"/>
  <c r="D154" i="24"/>
  <c r="M153" i="24"/>
  <c r="D153" i="24"/>
  <c r="B117" i="24"/>
  <c r="K115" i="24"/>
  <c r="B114" i="24"/>
  <c r="B112" i="24"/>
  <c r="R105" i="24"/>
  <c r="O105" i="24"/>
  <c r="M105" i="24"/>
  <c r="J105" i="24"/>
  <c r="I105" i="24"/>
  <c r="F105" i="24"/>
  <c r="D105" i="24"/>
  <c r="A105" i="24"/>
  <c r="O104" i="24"/>
  <c r="M104" i="24"/>
  <c r="J104" i="24"/>
  <c r="F104" i="24"/>
  <c r="D104" i="24"/>
  <c r="A104" i="24"/>
  <c r="M102" i="24"/>
  <c r="D102" i="24"/>
  <c r="M101" i="24"/>
  <c r="D101" i="24"/>
  <c r="E87" i="24"/>
  <c r="E140" i="24" s="1"/>
  <c r="E86" i="24"/>
  <c r="E85" i="24"/>
  <c r="E78" i="24"/>
  <c r="N78" i="24" s="1"/>
  <c r="N87" i="24" s="1"/>
  <c r="E76" i="24"/>
  <c r="M57" i="24"/>
  <c r="D57" i="24"/>
  <c r="M56" i="24"/>
  <c r="D56" i="24"/>
  <c r="M53" i="24"/>
  <c r="D53" i="24"/>
  <c r="N45" i="24"/>
  <c r="N44" i="24"/>
  <c r="E36" i="24"/>
  <c r="N35" i="24"/>
  <c r="J19" i="24"/>
  <c r="B19" i="24"/>
  <c r="K19" i="24" s="1"/>
  <c r="K18" i="24"/>
  <c r="B18" i="24"/>
  <c r="B17" i="24"/>
  <c r="K17" i="24" s="1"/>
  <c r="B14" i="24"/>
  <c r="K14" i="24" s="1"/>
  <c r="B12" i="24"/>
  <c r="B11" i="24"/>
  <c r="M5" i="24"/>
  <c r="D5" i="24"/>
  <c r="M4" i="24"/>
  <c r="D4" i="24"/>
  <c r="M1" i="24"/>
  <c r="D1" i="24"/>
  <c r="V60" i="23"/>
  <c r="D60" i="23"/>
  <c r="V59" i="23"/>
  <c r="D59" i="23"/>
  <c r="V57" i="23"/>
  <c r="V56" i="23"/>
  <c r="D56" i="23"/>
  <c r="S42" i="23"/>
  <c r="T24" i="23"/>
  <c r="B21" i="23"/>
  <c r="B20" i="23"/>
  <c r="B19" i="23"/>
  <c r="T19" i="23" s="1"/>
  <c r="K18" i="23"/>
  <c r="AC18" i="23" s="1"/>
  <c r="B18" i="23"/>
  <c r="B17" i="23"/>
  <c r="B16" i="23"/>
  <c r="K15" i="23"/>
  <c r="AC15" i="23" s="1"/>
  <c r="B15" i="23"/>
  <c r="B14" i="23"/>
  <c r="O11" i="23"/>
  <c r="AG11" i="23" s="1"/>
  <c r="AE5" i="23"/>
  <c r="V5" i="23"/>
  <c r="M5" i="23"/>
  <c r="D5" i="23"/>
  <c r="AE4" i="23"/>
  <c r="M4" i="23"/>
  <c r="V4" i="23" s="1"/>
  <c r="AE2" i="23"/>
  <c r="V2" i="23"/>
  <c r="M2" i="23"/>
  <c r="AE1" i="23"/>
  <c r="V1" i="23"/>
  <c r="M1" i="23"/>
  <c r="D1" i="23"/>
  <c r="T105" i="22"/>
  <c r="T103" i="22"/>
  <c r="T102" i="22"/>
  <c r="T101" i="22"/>
  <c r="T100" i="22"/>
  <c r="T99" i="22"/>
  <c r="T98" i="22"/>
  <c r="T97" i="22"/>
  <c r="V60" i="22"/>
  <c r="D60" i="22"/>
  <c r="V59" i="22"/>
  <c r="D59" i="22"/>
  <c r="V56" i="22"/>
  <c r="D56" i="22"/>
  <c r="B23" i="22"/>
  <c r="B21" i="22"/>
  <c r="B20" i="22"/>
  <c r="L19" i="22"/>
  <c r="B19" i="22"/>
  <c r="B18" i="22"/>
  <c r="B17" i="22"/>
  <c r="B16" i="22"/>
  <c r="B15" i="22"/>
  <c r="B14" i="22"/>
  <c r="O12" i="22"/>
  <c r="AH13" i="22" s="1"/>
  <c r="AE5" i="22"/>
  <c r="V5" i="22"/>
  <c r="M5" i="22"/>
  <c r="D5" i="22"/>
  <c r="AE4" i="22"/>
  <c r="V4" i="22"/>
  <c r="M4" i="22"/>
  <c r="D4" i="22"/>
  <c r="AE1" i="22"/>
  <c r="V1" i="22"/>
  <c r="M1" i="22"/>
  <c r="D1" i="22"/>
  <c r="V88" i="21"/>
  <c r="L81" i="21"/>
  <c r="L80" i="21"/>
  <c r="L77" i="21"/>
  <c r="K75" i="21"/>
  <c r="T73" i="21"/>
  <c r="T70" i="21"/>
  <c r="U70" i="21" s="1"/>
  <c r="K62" i="21"/>
  <c r="E62" i="21"/>
  <c r="M62" i="21" s="1"/>
  <c r="C62" i="21"/>
  <c r="I55" i="21"/>
  <c r="A55" i="21"/>
  <c r="I54" i="21"/>
  <c r="A54" i="21"/>
  <c r="I53" i="21"/>
  <c r="A53" i="21"/>
  <c r="I52" i="21"/>
  <c r="A52" i="21"/>
  <c r="I51" i="21"/>
  <c r="A51" i="21"/>
  <c r="L43" i="21"/>
  <c r="D43" i="21"/>
  <c r="L42" i="21"/>
  <c r="D42" i="21"/>
  <c r="L40" i="21"/>
  <c r="D40" i="21"/>
  <c r="L39" i="21"/>
  <c r="D39" i="21"/>
  <c r="I36" i="21"/>
  <c r="B36" i="21"/>
  <c r="A36" i="21"/>
  <c r="I35" i="21"/>
  <c r="B35" i="21"/>
  <c r="A35" i="21"/>
  <c r="I34" i="21"/>
  <c r="B34" i="21"/>
  <c r="A34" i="21"/>
  <c r="I33" i="21"/>
  <c r="B33" i="21"/>
  <c r="A33" i="21"/>
  <c r="I32" i="21"/>
  <c r="B32" i="21"/>
  <c r="A32" i="21"/>
  <c r="E28" i="21"/>
  <c r="D28" i="21"/>
  <c r="E27" i="21"/>
  <c r="D27" i="21"/>
  <c r="E26" i="21"/>
  <c r="D26" i="21"/>
  <c r="E25" i="21"/>
  <c r="D25" i="21"/>
  <c r="J24" i="21"/>
  <c r="E24" i="21"/>
  <c r="D24" i="21"/>
  <c r="J14" i="21"/>
  <c r="J13" i="21"/>
  <c r="B13" i="21"/>
  <c r="J12" i="21"/>
  <c r="B12" i="21"/>
  <c r="J11" i="21"/>
  <c r="B9" i="21"/>
  <c r="L5" i="21"/>
  <c r="D5" i="21"/>
  <c r="L4" i="21"/>
  <c r="D4" i="21"/>
  <c r="L1" i="21"/>
  <c r="D1" i="21"/>
  <c r="O167" i="20"/>
  <c r="E168" i="20" s="1"/>
  <c r="U163" i="20" s="1"/>
  <c r="B167" i="20"/>
  <c r="R163" i="20"/>
  <c r="R162" i="20"/>
  <c r="A150" i="20"/>
  <c r="A151" i="20" s="1"/>
  <c r="A152" i="20" s="1"/>
  <c r="A153" i="20" s="1"/>
  <c r="A154" i="20" s="1"/>
  <c r="A155" i="20" s="1"/>
  <c r="A156" i="20" s="1"/>
  <c r="Q146" i="20"/>
  <c r="Q147" i="20" s="1"/>
  <c r="Q148" i="20" s="1"/>
  <c r="Q149" i="20" s="1"/>
  <c r="Q150" i="20" s="1"/>
  <c r="Q151" i="20" s="1"/>
  <c r="AC145" i="20"/>
  <c r="AA145" i="20"/>
  <c r="M145" i="20"/>
  <c r="K145" i="20"/>
  <c r="AC144" i="20"/>
  <c r="AA144" i="20"/>
  <c r="M144" i="20"/>
  <c r="K144" i="20"/>
  <c r="A129" i="20"/>
  <c r="A130" i="20" s="1"/>
  <c r="A131" i="20" s="1"/>
  <c r="A132" i="20" s="1"/>
  <c r="A133" i="20" s="1"/>
  <c r="Q128" i="20"/>
  <c r="Q129" i="20" s="1"/>
  <c r="Q130" i="20" s="1"/>
  <c r="Q131" i="20" s="1"/>
  <c r="Q132" i="20" s="1"/>
  <c r="T122" i="20"/>
  <c r="D122" i="20"/>
  <c r="T121" i="20"/>
  <c r="D121" i="20"/>
  <c r="T118" i="20"/>
  <c r="D118" i="20"/>
  <c r="AB106" i="20"/>
  <c r="Z106" i="20"/>
  <c r="AB105" i="20"/>
  <c r="Z105" i="20"/>
  <c r="AB104" i="20"/>
  <c r="AB103" i="20"/>
  <c r="E102" i="20"/>
  <c r="U105" i="20" s="1"/>
  <c r="AB100" i="20"/>
  <c r="U99" i="20"/>
  <c r="T99" i="20"/>
  <c r="V99" i="20" s="1"/>
  <c r="S99" i="20"/>
  <c r="R99" i="20"/>
  <c r="L99" i="20"/>
  <c r="T98" i="20"/>
  <c r="R98" i="20"/>
  <c r="T97" i="20"/>
  <c r="R97" i="20"/>
  <c r="T96" i="20"/>
  <c r="R96" i="20"/>
  <c r="T95" i="20"/>
  <c r="R95" i="20"/>
  <c r="T94" i="20"/>
  <c r="R94" i="20"/>
  <c r="T93" i="20"/>
  <c r="R93" i="20"/>
  <c r="T92" i="20"/>
  <c r="R92" i="20"/>
  <c r="T91" i="20"/>
  <c r="R91" i="20"/>
  <c r="Q91" i="20"/>
  <c r="Q92" i="20" s="1"/>
  <c r="Q93" i="20" s="1"/>
  <c r="Q94" i="20" s="1"/>
  <c r="Q95" i="20" s="1"/>
  <c r="Q96" i="20" s="1"/>
  <c r="Q97" i="20" s="1"/>
  <c r="Q98" i="20" s="1"/>
  <c r="Q99" i="20" s="1"/>
  <c r="A91" i="20"/>
  <c r="A92" i="20" s="1"/>
  <c r="A93" i="20" s="1"/>
  <c r="A94" i="20" s="1"/>
  <c r="A95" i="20" s="1"/>
  <c r="A96" i="20" s="1"/>
  <c r="A97" i="20" s="1"/>
  <c r="A98" i="20" s="1"/>
  <c r="T90" i="20"/>
  <c r="R90" i="20"/>
  <c r="E90" i="20"/>
  <c r="T66" i="20"/>
  <c r="D66" i="20"/>
  <c r="T65" i="20"/>
  <c r="D65" i="20"/>
  <c r="T62" i="20"/>
  <c r="D62" i="20"/>
  <c r="B58" i="20"/>
  <c r="R57" i="20"/>
  <c r="B57" i="20"/>
  <c r="R56" i="20"/>
  <c r="R55" i="20"/>
  <c r="B48" i="20"/>
  <c r="B44" i="20"/>
  <c r="R44" i="20" s="1"/>
  <c r="B43" i="20"/>
  <c r="R43" i="20" s="1"/>
  <c r="B37" i="20"/>
  <c r="R37" i="20" s="1"/>
  <c r="K36" i="20"/>
  <c r="B36" i="20"/>
  <c r="R36" i="20" s="1"/>
  <c r="K35" i="20"/>
  <c r="B35" i="20"/>
  <c r="R29" i="20"/>
  <c r="R28" i="20"/>
  <c r="R22" i="20"/>
  <c r="R21" i="20"/>
  <c r="B20" i="20"/>
  <c r="R20" i="20" s="1"/>
  <c r="O176" i="20" s="1"/>
  <c r="B18" i="20"/>
  <c r="R18" i="20" s="1"/>
  <c r="B17" i="20"/>
  <c r="R15" i="20"/>
  <c r="B14" i="20"/>
  <c r="AB5" i="20"/>
  <c r="T5" i="20"/>
  <c r="L5" i="20"/>
  <c r="D5" i="20"/>
  <c r="AB4" i="20"/>
  <c r="T4" i="20"/>
  <c r="L4" i="20"/>
  <c r="D4" i="20"/>
  <c r="AB1" i="20"/>
  <c r="T1" i="20"/>
  <c r="L1" i="20"/>
  <c r="D1" i="20"/>
  <c r="O167" i="19"/>
  <c r="E168" i="19" s="1"/>
  <c r="U163" i="19" s="1"/>
  <c r="B167" i="19"/>
  <c r="R163" i="19"/>
  <c r="R162" i="19"/>
  <c r="A150" i="19"/>
  <c r="A151" i="19" s="1"/>
  <c r="A152" i="19" s="1"/>
  <c r="A153" i="19" s="1"/>
  <c r="A154" i="19" s="1"/>
  <c r="A155" i="19" s="1"/>
  <c r="A156" i="19" s="1"/>
  <c r="Q146" i="19"/>
  <c r="Q147" i="19" s="1"/>
  <c r="Q148" i="19" s="1"/>
  <c r="Q149" i="19" s="1"/>
  <c r="Q150" i="19" s="1"/>
  <c r="Q151" i="19" s="1"/>
  <c r="AC145" i="19"/>
  <c r="AA145" i="19"/>
  <c r="M145" i="19"/>
  <c r="K145" i="19"/>
  <c r="AC144" i="19"/>
  <c r="AA144" i="19"/>
  <c r="M144" i="19"/>
  <c r="K144" i="19"/>
  <c r="A129" i="19"/>
  <c r="A130" i="19" s="1"/>
  <c r="A131" i="19" s="1"/>
  <c r="A132" i="19" s="1"/>
  <c r="A133" i="19" s="1"/>
  <c r="Q128" i="19"/>
  <c r="Q129" i="19" s="1"/>
  <c r="Q130" i="19" s="1"/>
  <c r="Q131" i="19" s="1"/>
  <c r="Q132" i="19" s="1"/>
  <c r="T122" i="19"/>
  <c r="D122" i="19"/>
  <c r="T121" i="19"/>
  <c r="D121" i="19"/>
  <c r="T118" i="19"/>
  <c r="D118" i="19"/>
  <c r="AB106" i="19"/>
  <c r="Z106" i="19"/>
  <c r="AB105" i="19"/>
  <c r="Z105" i="19"/>
  <c r="AB104" i="19"/>
  <c r="AB103" i="19"/>
  <c r="E102" i="19"/>
  <c r="U105" i="19" s="1"/>
  <c r="AB100" i="19"/>
  <c r="S99" i="19"/>
  <c r="R99" i="19"/>
  <c r="D99" i="19"/>
  <c r="S98" i="19"/>
  <c r="R98" i="19"/>
  <c r="S97" i="19"/>
  <c r="R97" i="19"/>
  <c r="S96" i="19"/>
  <c r="R96" i="19"/>
  <c r="S95" i="19"/>
  <c r="R95" i="19"/>
  <c r="S94" i="19"/>
  <c r="R94" i="19"/>
  <c r="S93" i="19"/>
  <c r="R93" i="19"/>
  <c r="S92" i="19"/>
  <c r="R92" i="19"/>
  <c r="S91" i="19"/>
  <c r="R91" i="19"/>
  <c r="Q91" i="19"/>
  <c r="Q92" i="19" s="1"/>
  <c r="Q93" i="19" s="1"/>
  <c r="Q94" i="19" s="1"/>
  <c r="Q95" i="19" s="1"/>
  <c r="Q96" i="19" s="1"/>
  <c r="Q97" i="19" s="1"/>
  <c r="Q98" i="19" s="1"/>
  <c r="Q99" i="19" s="1"/>
  <c r="S90" i="19"/>
  <c r="R90" i="19"/>
  <c r="V83" i="19"/>
  <c r="U83" i="19"/>
  <c r="T83" i="19"/>
  <c r="S83" i="19"/>
  <c r="V82" i="19"/>
  <c r="U82" i="19"/>
  <c r="T82" i="19"/>
  <c r="S82" i="19"/>
  <c r="V81" i="19"/>
  <c r="U81" i="19"/>
  <c r="T81" i="19"/>
  <c r="S81" i="19"/>
  <c r="U80" i="19"/>
  <c r="T80" i="19"/>
  <c r="U79" i="19"/>
  <c r="T79" i="19"/>
  <c r="U78" i="19"/>
  <c r="T78" i="19"/>
  <c r="U77" i="19"/>
  <c r="T77" i="19"/>
  <c r="U76" i="19"/>
  <c r="T76" i="19"/>
  <c r="U75" i="19"/>
  <c r="T75" i="19"/>
  <c r="U74" i="19"/>
  <c r="T74" i="19"/>
  <c r="U73" i="19"/>
  <c r="T73" i="19"/>
  <c r="U72" i="19"/>
  <c r="T72" i="19"/>
  <c r="U71" i="19"/>
  <c r="T71" i="19"/>
  <c r="T66" i="19"/>
  <c r="D66" i="19"/>
  <c r="T65" i="19"/>
  <c r="D65" i="19"/>
  <c r="T62" i="19"/>
  <c r="D62" i="19"/>
  <c r="B58" i="19"/>
  <c r="R57" i="19"/>
  <c r="B57" i="19"/>
  <c r="B61" i="19" s="1"/>
  <c r="R59" i="19" s="1"/>
  <c r="R56" i="19"/>
  <c r="R55" i="19"/>
  <c r="B44" i="19"/>
  <c r="R44" i="19" s="1"/>
  <c r="B37" i="19"/>
  <c r="R37" i="19" s="1"/>
  <c r="K36" i="19"/>
  <c r="B36" i="19"/>
  <c r="R36" i="19" s="1"/>
  <c r="K35" i="19"/>
  <c r="R29" i="19"/>
  <c r="B29" i="19"/>
  <c r="R28" i="19"/>
  <c r="B28" i="19"/>
  <c r="R22" i="19"/>
  <c r="R21" i="19"/>
  <c r="B20" i="19"/>
  <c r="R20" i="19" s="1"/>
  <c r="O176" i="19" s="1"/>
  <c r="R15" i="19"/>
  <c r="B14" i="19"/>
  <c r="AF5" i="19"/>
  <c r="AC5" i="19"/>
  <c r="AB5" i="19"/>
  <c r="Y5" i="19"/>
  <c r="T5" i="19"/>
  <c r="L5" i="19"/>
  <c r="D5" i="19"/>
  <c r="AC4" i="19"/>
  <c r="AB4" i="19"/>
  <c r="Y4" i="19"/>
  <c r="T4" i="19"/>
  <c r="L4" i="19"/>
  <c r="D4" i="19"/>
  <c r="AB2" i="19"/>
  <c r="T2" i="19"/>
  <c r="L2" i="19"/>
  <c r="AB1" i="19"/>
  <c r="T1" i="19"/>
  <c r="L1" i="19"/>
  <c r="D1" i="19"/>
  <c r="D161" i="18"/>
  <c r="T161" i="18" s="1"/>
  <c r="C161" i="18"/>
  <c r="D160" i="18"/>
  <c r="T160" i="18" s="1"/>
  <c r="C160" i="18"/>
  <c r="D159" i="18"/>
  <c r="T159" i="18" s="1"/>
  <c r="C159" i="18"/>
  <c r="D158" i="18"/>
  <c r="T158" i="18" s="1"/>
  <c r="C158" i="18"/>
  <c r="Q157" i="18"/>
  <c r="Q158" i="18" s="1"/>
  <c r="Q159" i="18" s="1"/>
  <c r="Q160" i="18" s="1"/>
  <c r="Q161" i="18" s="1"/>
  <c r="Q162" i="18" s="1"/>
  <c r="Q163" i="18" s="1"/>
  <c r="Q164" i="18" s="1"/>
  <c r="Q165" i="18" s="1"/>
  <c r="D157" i="18"/>
  <c r="T157" i="18" s="1"/>
  <c r="C157" i="18"/>
  <c r="A157" i="18"/>
  <c r="A158" i="18" s="1"/>
  <c r="A159" i="18" s="1"/>
  <c r="A160" i="18" s="1"/>
  <c r="A161" i="18" s="1"/>
  <c r="A162" i="18" s="1"/>
  <c r="A163" i="18" s="1"/>
  <c r="A164" i="18" s="1"/>
  <c r="A165" i="18" s="1"/>
  <c r="D156" i="18"/>
  <c r="T156" i="18" s="1"/>
  <c r="C156" i="18"/>
  <c r="S135" i="18"/>
  <c r="R135" i="18"/>
  <c r="S134" i="18"/>
  <c r="R134" i="18"/>
  <c r="S133" i="18"/>
  <c r="R133" i="18"/>
  <c r="Q128" i="18"/>
  <c r="Q129" i="18" s="1"/>
  <c r="Q130" i="18" s="1"/>
  <c r="Q131" i="18" s="1"/>
  <c r="Q132" i="18" s="1"/>
  <c r="Q133" i="18" s="1"/>
  <c r="Q134" i="18" s="1"/>
  <c r="Q135" i="18" s="1"/>
  <c r="A128" i="18"/>
  <c r="A129" i="18" s="1"/>
  <c r="A130" i="18" s="1"/>
  <c r="A131" i="18" s="1"/>
  <c r="A132" i="18" s="1"/>
  <c r="A133" i="18" s="1"/>
  <c r="A134" i="18" s="1"/>
  <c r="A135" i="18" s="1"/>
  <c r="T121" i="18"/>
  <c r="D121" i="18"/>
  <c r="T120" i="18"/>
  <c r="D120" i="18"/>
  <c r="T117" i="18"/>
  <c r="D117" i="18"/>
  <c r="E99" i="18"/>
  <c r="U91" i="18"/>
  <c r="T91" i="18"/>
  <c r="V91" i="18" s="1"/>
  <c r="S91" i="18"/>
  <c r="R91" i="18"/>
  <c r="L91" i="18"/>
  <c r="U90" i="18"/>
  <c r="T90" i="18"/>
  <c r="V90" i="18" s="1"/>
  <c r="S90" i="18"/>
  <c r="R90" i="18"/>
  <c r="L90" i="18"/>
  <c r="U89" i="18"/>
  <c r="T89" i="18"/>
  <c r="V89" i="18" s="1"/>
  <c r="S89" i="18"/>
  <c r="R89" i="18"/>
  <c r="Q89" i="18"/>
  <c r="Q90" i="18" s="1"/>
  <c r="Q91" i="18" s="1"/>
  <c r="Q92" i="18" s="1"/>
  <c r="Q93" i="18" s="1"/>
  <c r="Q94" i="18" s="1"/>
  <c r="Q95" i="18" s="1"/>
  <c r="L89" i="18"/>
  <c r="U88" i="18"/>
  <c r="T88" i="18"/>
  <c r="V88" i="18" s="1"/>
  <c r="S88" i="18"/>
  <c r="R88" i="18"/>
  <c r="L88" i="18"/>
  <c r="T87" i="18"/>
  <c r="Q87" i="18"/>
  <c r="B87" i="18"/>
  <c r="A87" i="18"/>
  <c r="T86" i="18"/>
  <c r="E86" i="18"/>
  <c r="B86" i="18"/>
  <c r="T62" i="18"/>
  <c r="D62" i="18"/>
  <c r="T61" i="18"/>
  <c r="D61" i="18"/>
  <c r="T58" i="18"/>
  <c r="D58" i="18"/>
  <c r="B53" i="18"/>
  <c r="R53" i="18" s="1"/>
  <c r="B52" i="18"/>
  <c r="B39" i="18"/>
  <c r="R39" i="18" s="1"/>
  <c r="B32" i="18"/>
  <c r="R32" i="18" s="1"/>
  <c r="K31" i="18"/>
  <c r="B31" i="18"/>
  <c r="R31" i="18" s="1"/>
  <c r="K30" i="18"/>
  <c r="R22" i="18"/>
  <c r="B21" i="18"/>
  <c r="R16" i="18"/>
  <c r="B15" i="18"/>
  <c r="AB5" i="18"/>
  <c r="T5" i="18"/>
  <c r="L5" i="18"/>
  <c r="D5" i="18"/>
  <c r="AB4" i="18"/>
  <c r="T4" i="18"/>
  <c r="L4" i="18"/>
  <c r="D4" i="18"/>
  <c r="AB1" i="18"/>
  <c r="T1" i="18"/>
  <c r="L1" i="18"/>
  <c r="D1" i="18"/>
  <c r="O166" i="17"/>
  <c r="E167" i="17" s="1"/>
  <c r="U162" i="17" s="1"/>
  <c r="B166" i="17"/>
  <c r="R162" i="17"/>
  <c r="R161" i="17"/>
  <c r="A149" i="17"/>
  <c r="A150" i="17" s="1"/>
  <c r="A151" i="17" s="1"/>
  <c r="A152" i="17" s="1"/>
  <c r="A153" i="17" s="1"/>
  <c r="A154" i="17" s="1"/>
  <c r="A155" i="17" s="1"/>
  <c r="Q145" i="17"/>
  <c r="Q146" i="17" s="1"/>
  <c r="Q147" i="17" s="1"/>
  <c r="Q148" i="17" s="1"/>
  <c r="Q149" i="17" s="1"/>
  <c r="Q150" i="17" s="1"/>
  <c r="AC144" i="17"/>
  <c r="AA144" i="17"/>
  <c r="M144" i="17"/>
  <c r="K144" i="17"/>
  <c r="AC143" i="17"/>
  <c r="AA143" i="17"/>
  <c r="M143" i="17"/>
  <c r="K143" i="17"/>
  <c r="A128" i="17"/>
  <c r="A129" i="17" s="1"/>
  <c r="A130" i="17" s="1"/>
  <c r="A131" i="17" s="1"/>
  <c r="A132" i="17" s="1"/>
  <c r="Q127" i="17"/>
  <c r="Q128" i="17" s="1"/>
  <c r="Q129" i="17" s="1"/>
  <c r="Q130" i="17" s="1"/>
  <c r="Q131" i="17" s="1"/>
  <c r="T120" i="17"/>
  <c r="D120" i="17"/>
  <c r="T119" i="17"/>
  <c r="D119" i="17"/>
  <c r="T117" i="17"/>
  <c r="T116" i="17"/>
  <c r="D116" i="17"/>
  <c r="AB106" i="17"/>
  <c r="Z106" i="17"/>
  <c r="AB105" i="17"/>
  <c r="Z105" i="17"/>
  <c r="AB104" i="17"/>
  <c r="AB103" i="17"/>
  <c r="E102" i="17"/>
  <c r="U105" i="17" s="1"/>
  <c r="AB100" i="17"/>
  <c r="U99" i="17"/>
  <c r="T99" i="17"/>
  <c r="S99" i="17"/>
  <c r="AB99" i="17" s="1"/>
  <c r="R99" i="17"/>
  <c r="U98" i="17"/>
  <c r="T98" i="17"/>
  <c r="V98" i="17" s="1"/>
  <c r="S98" i="17"/>
  <c r="AB98" i="17" s="1"/>
  <c r="R98" i="17"/>
  <c r="G98" i="17"/>
  <c r="U97" i="17"/>
  <c r="W98" i="17" s="1"/>
  <c r="T97" i="17"/>
  <c r="V97" i="17" s="1"/>
  <c r="S97" i="17"/>
  <c r="AB97" i="17" s="1"/>
  <c r="R97" i="17"/>
  <c r="T96" i="17"/>
  <c r="R96" i="17"/>
  <c r="T95" i="17"/>
  <c r="R95" i="17"/>
  <c r="T94" i="17"/>
  <c r="R94" i="17"/>
  <c r="T93" i="17"/>
  <c r="R93" i="17"/>
  <c r="T92" i="17"/>
  <c r="R92" i="17"/>
  <c r="T91" i="17"/>
  <c r="R91" i="17"/>
  <c r="Q91" i="17"/>
  <c r="Q92" i="17" s="1"/>
  <c r="Q93" i="17" s="1"/>
  <c r="Q94" i="17" s="1"/>
  <c r="Q95" i="17" s="1"/>
  <c r="Q96" i="17" s="1"/>
  <c r="Q97" i="17" s="1"/>
  <c r="Q98" i="17" s="1"/>
  <c r="Q99" i="17" s="1"/>
  <c r="A91" i="17"/>
  <c r="A92" i="17" s="1"/>
  <c r="A93" i="17" s="1"/>
  <c r="A94" i="17" s="1"/>
  <c r="A95" i="17" s="1"/>
  <c r="A96" i="17" s="1"/>
  <c r="T90" i="17"/>
  <c r="R90" i="17"/>
  <c r="E90" i="17"/>
  <c r="D66" i="17"/>
  <c r="D65" i="17"/>
  <c r="T64" i="17"/>
  <c r="T63" i="17"/>
  <c r="D62" i="17"/>
  <c r="T61" i="17"/>
  <c r="T60" i="17"/>
  <c r="B59" i="17"/>
  <c r="B58" i="17"/>
  <c r="B57" i="17"/>
  <c r="R56" i="17"/>
  <c r="R55" i="17"/>
  <c r="R58" i="17" s="1"/>
  <c r="B48" i="17"/>
  <c r="B44" i="17"/>
  <c r="R44" i="17" s="1"/>
  <c r="B43" i="17"/>
  <c r="R43" i="17" s="1"/>
  <c r="B37" i="17"/>
  <c r="R37" i="17" s="1"/>
  <c r="K36" i="17"/>
  <c r="B36" i="17"/>
  <c r="R36" i="17" s="1"/>
  <c r="K35" i="17"/>
  <c r="B35" i="17"/>
  <c r="R29" i="17"/>
  <c r="B29" i="17"/>
  <c r="R28" i="17"/>
  <c r="B28" i="17"/>
  <c r="R22" i="17"/>
  <c r="R21" i="17"/>
  <c r="B20" i="17"/>
  <c r="R20" i="17" s="1"/>
  <c r="O175" i="17" s="1"/>
  <c r="B18" i="17"/>
  <c r="R18" i="17" s="1"/>
  <c r="R15" i="17"/>
  <c r="B14" i="17"/>
  <c r="AB5" i="17"/>
  <c r="T5" i="17"/>
  <c r="L5" i="17"/>
  <c r="D5" i="17"/>
  <c r="AB4" i="17"/>
  <c r="T4" i="17"/>
  <c r="L4" i="17"/>
  <c r="D4" i="17"/>
  <c r="AB2" i="17"/>
  <c r="T2" i="17"/>
  <c r="L2" i="17"/>
  <c r="AB1" i="17"/>
  <c r="T1" i="17"/>
  <c r="L1" i="17"/>
  <c r="D1" i="17"/>
  <c r="L47" i="16"/>
  <c r="D47" i="16"/>
  <c r="L46" i="16"/>
  <c r="D46" i="16"/>
  <c r="L44" i="16"/>
  <c r="L43" i="16"/>
  <c r="D43" i="16"/>
  <c r="D38" i="16"/>
  <c r="L38" i="16" s="1"/>
  <c r="C38" i="16"/>
  <c r="K38" i="16" s="1"/>
  <c r="B38" i="16"/>
  <c r="D37" i="16"/>
  <c r="L37" i="16" s="1"/>
  <c r="C37" i="16"/>
  <c r="K37" i="16" s="1"/>
  <c r="B37" i="16"/>
  <c r="D36" i="16"/>
  <c r="L36" i="16" s="1"/>
  <c r="C36" i="16"/>
  <c r="K36" i="16" s="1"/>
  <c r="B36" i="16"/>
  <c r="D35" i="16"/>
  <c r="L35" i="16" s="1"/>
  <c r="C35" i="16"/>
  <c r="K35" i="16" s="1"/>
  <c r="B35" i="16"/>
  <c r="D34" i="16"/>
  <c r="L34" i="16" s="1"/>
  <c r="C34" i="16"/>
  <c r="K34" i="16" s="1"/>
  <c r="B34" i="16"/>
  <c r="D33" i="16"/>
  <c r="L33" i="16" s="1"/>
  <c r="C33" i="16"/>
  <c r="K33" i="16" s="1"/>
  <c r="B33" i="16"/>
  <c r="D32" i="16"/>
  <c r="L32" i="16" s="1"/>
  <c r="C32" i="16"/>
  <c r="K32" i="16" s="1"/>
  <c r="B32" i="16"/>
  <c r="D31" i="16"/>
  <c r="L31" i="16" s="1"/>
  <c r="C31" i="16"/>
  <c r="K31" i="16" s="1"/>
  <c r="B31" i="16"/>
  <c r="D30" i="16"/>
  <c r="L30" i="16" s="1"/>
  <c r="C30" i="16"/>
  <c r="K30" i="16" s="1"/>
  <c r="B30" i="16"/>
  <c r="B22" i="16"/>
  <c r="B21" i="16"/>
  <c r="B18" i="16"/>
  <c r="J18" i="16" s="1"/>
  <c r="B15" i="16"/>
  <c r="J15" i="16" s="1"/>
  <c r="B14" i="16"/>
  <c r="B13" i="16"/>
  <c r="J13" i="16" s="1"/>
  <c r="B11" i="16"/>
  <c r="J11" i="16" s="1"/>
  <c r="L5" i="16"/>
  <c r="D5" i="16"/>
  <c r="L4" i="16"/>
  <c r="D4" i="16"/>
  <c r="L2" i="16"/>
  <c r="L1" i="16"/>
  <c r="D1" i="16"/>
  <c r="L46" i="15"/>
  <c r="D46" i="15"/>
  <c r="L45" i="15"/>
  <c r="D45" i="15"/>
  <c r="L43" i="15"/>
  <c r="L42" i="15"/>
  <c r="D42" i="15"/>
  <c r="D37" i="15"/>
  <c r="L37" i="15" s="1"/>
  <c r="C37" i="15"/>
  <c r="K37" i="15" s="1"/>
  <c r="B37" i="15"/>
  <c r="D36" i="15"/>
  <c r="L36" i="15" s="1"/>
  <c r="C36" i="15"/>
  <c r="K36" i="15" s="1"/>
  <c r="B36" i="15"/>
  <c r="D35" i="15"/>
  <c r="L35" i="15" s="1"/>
  <c r="C35" i="15"/>
  <c r="K35" i="15" s="1"/>
  <c r="B35" i="15"/>
  <c r="D34" i="15"/>
  <c r="L34" i="15" s="1"/>
  <c r="C34" i="15"/>
  <c r="K34" i="15" s="1"/>
  <c r="B34" i="15"/>
  <c r="D33" i="15"/>
  <c r="L33" i="15" s="1"/>
  <c r="C33" i="15"/>
  <c r="K33" i="15" s="1"/>
  <c r="B33" i="15"/>
  <c r="D32" i="15"/>
  <c r="L32" i="15" s="1"/>
  <c r="C32" i="15"/>
  <c r="K32" i="15" s="1"/>
  <c r="B32" i="15"/>
  <c r="D31" i="15"/>
  <c r="L31" i="15" s="1"/>
  <c r="C31" i="15"/>
  <c r="K31" i="15" s="1"/>
  <c r="B31" i="15"/>
  <c r="D30" i="15"/>
  <c r="L30" i="15" s="1"/>
  <c r="C30" i="15"/>
  <c r="K30" i="15" s="1"/>
  <c r="B30" i="15"/>
  <c r="D29" i="15"/>
  <c r="L29" i="15" s="1"/>
  <c r="C29" i="15"/>
  <c r="K29" i="15" s="1"/>
  <c r="B29" i="15"/>
  <c r="B22" i="15"/>
  <c r="B21" i="15"/>
  <c r="B18" i="15"/>
  <c r="J18" i="15" s="1"/>
  <c r="B17" i="15"/>
  <c r="B15" i="15"/>
  <c r="J15" i="15" s="1"/>
  <c r="B14" i="15"/>
  <c r="J13" i="15"/>
  <c r="B11" i="15"/>
  <c r="J11" i="15" s="1"/>
  <c r="L5" i="15"/>
  <c r="D5" i="15"/>
  <c r="L4" i="15"/>
  <c r="D4" i="15"/>
  <c r="L2" i="15"/>
  <c r="L1" i="15"/>
  <c r="D1" i="15"/>
  <c r="J118" i="14"/>
  <c r="C108" i="14"/>
  <c r="Y104" i="14"/>
  <c r="L94" i="14"/>
  <c r="L93" i="14"/>
  <c r="L90" i="14"/>
  <c r="B88" i="14"/>
  <c r="B89" i="14" s="1"/>
  <c r="C89" i="14" s="1"/>
  <c r="J86" i="14"/>
  <c r="J84" i="14"/>
  <c r="J83" i="14"/>
  <c r="J87" i="14" s="1"/>
  <c r="K87" i="14" s="1"/>
  <c r="L48" i="14"/>
  <c r="D48" i="14"/>
  <c r="L47" i="14"/>
  <c r="D47" i="14"/>
  <c r="L44" i="14"/>
  <c r="D44" i="14"/>
  <c r="D38" i="14"/>
  <c r="L38" i="14" s="1"/>
  <c r="C38" i="14"/>
  <c r="B38" i="14"/>
  <c r="D37" i="14"/>
  <c r="L37" i="14" s="1"/>
  <c r="C37" i="14"/>
  <c r="B37" i="14"/>
  <c r="D36" i="14"/>
  <c r="L36" i="14" s="1"/>
  <c r="C36" i="14"/>
  <c r="B36" i="14"/>
  <c r="D35" i="14"/>
  <c r="L35" i="14" s="1"/>
  <c r="C35" i="14"/>
  <c r="B35" i="14"/>
  <c r="D34" i="14"/>
  <c r="L34" i="14" s="1"/>
  <c r="C34" i="14"/>
  <c r="B34" i="14"/>
  <c r="D33" i="14"/>
  <c r="L33" i="14" s="1"/>
  <c r="C33" i="14"/>
  <c r="B33" i="14"/>
  <c r="D32" i="14"/>
  <c r="L32" i="14" s="1"/>
  <c r="C32" i="14"/>
  <c r="B32" i="14"/>
  <c r="D31" i="14"/>
  <c r="L31" i="14" s="1"/>
  <c r="C31" i="14"/>
  <c r="B31" i="14"/>
  <c r="D30" i="14"/>
  <c r="L30" i="14" s="1"/>
  <c r="C30" i="14"/>
  <c r="B30" i="14"/>
  <c r="B23" i="14"/>
  <c r="B22" i="14"/>
  <c r="B19" i="14"/>
  <c r="J19" i="14" s="1"/>
  <c r="B17" i="14"/>
  <c r="J17" i="14" s="1"/>
  <c r="B15" i="14"/>
  <c r="B14" i="14"/>
  <c r="H13" i="14"/>
  <c r="B13" i="14"/>
  <c r="J13" i="14" s="1"/>
  <c r="H12" i="14"/>
  <c r="H14" i="14" s="1"/>
  <c r="B11" i="14"/>
  <c r="J11" i="14" s="1"/>
  <c r="L5" i="14"/>
  <c r="D5" i="14"/>
  <c r="L4" i="14"/>
  <c r="D4" i="14"/>
  <c r="L1" i="14"/>
  <c r="D1" i="14"/>
  <c r="T119" i="13"/>
  <c r="N111" i="13"/>
  <c r="N110" i="13"/>
  <c r="N109" i="13"/>
  <c r="T108" i="13"/>
  <c r="N108" i="13"/>
  <c r="N107" i="13"/>
  <c r="C107" i="13"/>
  <c r="N106" i="13"/>
  <c r="N105" i="13"/>
  <c r="N104" i="13"/>
  <c r="B103" i="13"/>
  <c r="C103" i="13" s="1"/>
  <c r="J83" i="13"/>
  <c r="J82" i="13"/>
  <c r="L47" i="13"/>
  <c r="D47" i="13"/>
  <c r="L46" i="13"/>
  <c r="D46" i="13"/>
  <c r="L43" i="13"/>
  <c r="D43" i="13"/>
  <c r="D38" i="13"/>
  <c r="L38" i="13" s="1"/>
  <c r="C38" i="13"/>
  <c r="K38" i="13" s="1"/>
  <c r="B38" i="13"/>
  <c r="J38" i="13" s="1"/>
  <c r="D37" i="13"/>
  <c r="L37" i="13" s="1"/>
  <c r="C37" i="13"/>
  <c r="K37" i="13" s="1"/>
  <c r="B37" i="13"/>
  <c r="J37" i="13" s="1"/>
  <c r="D36" i="13"/>
  <c r="L36" i="13" s="1"/>
  <c r="C36" i="13"/>
  <c r="K36" i="13" s="1"/>
  <c r="B36" i="13"/>
  <c r="D35" i="13"/>
  <c r="L35" i="13" s="1"/>
  <c r="C35" i="13"/>
  <c r="K35" i="13" s="1"/>
  <c r="B35" i="13"/>
  <c r="D34" i="13"/>
  <c r="L34" i="13" s="1"/>
  <c r="C34" i="13"/>
  <c r="K34" i="13" s="1"/>
  <c r="B34" i="13"/>
  <c r="D33" i="13"/>
  <c r="L33" i="13" s="1"/>
  <c r="C33" i="13"/>
  <c r="K33" i="13" s="1"/>
  <c r="B33" i="13"/>
  <c r="D32" i="13"/>
  <c r="L32" i="13" s="1"/>
  <c r="C32" i="13"/>
  <c r="K32" i="13" s="1"/>
  <c r="B32" i="13"/>
  <c r="D31" i="13"/>
  <c r="L31" i="13" s="1"/>
  <c r="C31" i="13"/>
  <c r="K31" i="13" s="1"/>
  <c r="B31" i="13"/>
  <c r="D30" i="13"/>
  <c r="L30" i="13" s="1"/>
  <c r="C30" i="13"/>
  <c r="K30" i="13" s="1"/>
  <c r="B30" i="13"/>
  <c r="D29" i="13"/>
  <c r="L29" i="13" s="1"/>
  <c r="C29" i="13"/>
  <c r="K29" i="13" s="1"/>
  <c r="B29" i="13"/>
  <c r="B21" i="13"/>
  <c r="B15" i="13"/>
  <c r="J15" i="13" s="1"/>
  <c r="T109" i="13" s="1"/>
  <c r="B14" i="13"/>
  <c r="H13" i="13"/>
  <c r="H12" i="13"/>
  <c r="H14" i="13" s="1"/>
  <c r="B11" i="13"/>
  <c r="J11" i="13" s="1"/>
  <c r="L5" i="13"/>
  <c r="D5" i="13"/>
  <c r="L4" i="13"/>
  <c r="D4" i="13"/>
  <c r="L1" i="13"/>
  <c r="D1" i="13"/>
  <c r="K70" i="12"/>
  <c r="K69" i="12"/>
  <c r="K68" i="12"/>
  <c r="I63" i="12"/>
  <c r="C63" i="12"/>
  <c r="I62" i="12"/>
  <c r="C62" i="12"/>
  <c r="I59" i="12"/>
  <c r="C59" i="12"/>
  <c r="B57" i="12"/>
  <c r="B52" i="12"/>
  <c r="B43" i="12"/>
  <c r="B40" i="12"/>
  <c r="B35" i="12"/>
  <c r="B23" i="12"/>
  <c r="B20" i="12"/>
  <c r="B19" i="12"/>
  <c r="B13" i="12"/>
  <c r="B11" i="12"/>
  <c r="I5" i="12"/>
  <c r="C5" i="12"/>
  <c r="I4" i="12"/>
  <c r="C4" i="12"/>
  <c r="I1" i="12"/>
  <c r="C1" i="12"/>
  <c r="B95" i="11"/>
  <c r="N95" i="11" s="1"/>
  <c r="B91" i="11"/>
  <c r="N91" i="11" s="1"/>
  <c r="N76" i="11"/>
  <c r="N74" i="11"/>
  <c r="N73" i="11"/>
  <c r="N69" i="11"/>
  <c r="K69" i="11"/>
  <c r="W69" i="11" s="1"/>
  <c r="K68" i="11"/>
  <c r="W68" i="11" s="1"/>
  <c r="K67" i="11"/>
  <c r="W67" i="11" s="1"/>
  <c r="N66" i="11"/>
  <c r="U62" i="11"/>
  <c r="O62" i="11"/>
  <c r="I62" i="11"/>
  <c r="C62" i="11"/>
  <c r="U61" i="11"/>
  <c r="O61" i="11"/>
  <c r="I61" i="11"/>
  <c r="C61" i="11"/>
  <c r="U58" i="11"/>
  <c r="O58" i="11"/>
  <c r="I58" i="11"/>
  <c r="C58" i="11"/>
  <c r="B57" i="11"/>
  <c r="N57" i="11" s="1"/>
  <c r="B52" i="11"/>
  <c r="N52" i="11" s="1"/>
  <c r="B51" i="11"/>
  <c r="N51" i="11" s="1"/>
  <c r="K50" i="11"/>
  <c r="B43" i="11"/>
  <c r="N43" i="11" s="1"/>
  <c r="B40" i="11"/>
  <c r="N40" i="11" s="1"/>
  <c r="B35" i="11"/>
  <c r="N35" i="11" s="1"/>
  <c r="B23" i="11"/>
  <c r="B20" i="11"/>
  <c r="B19" i="11"/>
  <c r="N16" i="11"/>
  <c r="T15" i="11"/>
  <c r="N13" i="11"/>
  <c r="N11" i="11"/>
  <c r="B10" i="11"/>
  <c r="N10" i="11" s="1"/>
  <c r="U5" i="11"/>
  <c r="O5" i="11"/>
  <c r="I5" i="11"/>
  <c r="C5" i="11"/>
  <c r="U4" i="11"/>
  <c r="O4" i="11"/>
  <c r="I4" i="11"/>
  <c r="C4" i="11"/>
  <c r="U2" i="11"/>
  <c r="O2" i="11"/>
  <c r="U1" i="11"/>
  <c r="O1" i="11"/>
  <c r="I1" i="11"/>
  <c r="C1" i="11"/>
  <c r="J86" i="10"/>
  <c r="G86" i="10"/>
  <c r="D86" i="10"/>
  <c r="A86" i="10"/>
  <c r="G85" i="10"/>
  <c r="D85" i="10"/>
  <c r="A85" i="10"/>
  <c r="D83" i="10"/>
  <c r="D82" i="10"/>
  <c r="D5" i="10"/>
  <c r="D4" i="10"/>
  <c r="A23" i="10"/>
  <c r="C198" i="9"/>
  <c r="F195" i="9"/>
  <c r="E195" i="9"/>
  <c r="E194" i="9"/>
  <c r="G193" i="9"/>
  <c r="F193" i="9"/>
  <c r="E193" i="9"/>
  <c r="L192" i="9"/>
  <c r="K192" i="9"/>
  <c r="J192" i="9"/>
  <c r="I192" i="9"/>
  <c r="H192" i="9"/>
  <c r="G192" i="9"/>
  <c r="F192" i="9"/>
  <c r="E192" i="9"/>
  <c r="B187" i="9"/>
  <c r="F184" i="9"/>
  <c r="I172" i="9"/>
  <c r="A170" i="9"/>
  <c r="A169" i="9"/>
  <c r="A168" i="9"/>
  <c r="A167" i="9"/>
  <c r="H157" i="9"/>
  <c r="J157" i="9" s="1"/>
  <c r="C155" i="9"/>
  <c r="H153" i="9"/>
  <c r="F150" i="9"/>
  <c r="H150" i="9" s="1"/>
  <c r="C144" i="9"/>
  <c r="F144" i="9" s="1"/>
  <c r="H144" i="9" s="1"/>
  <c r="C140" i="9"/>
  <c r="F140" i="9" s="1"/>
  <c r="H140" i="9" s="1"/>
  <c r="C139" i="9"/>
  <c r="F139" i="9" s="1"/>
  <c r="H139" i="9" s="1"/>
  <c r="J138" i="9"/>
  <c r="H133" i="9"/>
  <c r="J133" i="9" s="1"/>
  <c r="F131" i="9"/>
  <c r="H131" i="9" s="1"/>
  <c r="J131" i="9" s="1"/>
  <c r="F130" i="9"/>
  <c r="H130" i="9" s="1"/>
  <c r="J130" i="9" s="1"/>
  <c r="F129" i="9"/>
  <c r="H129" i="9" s="1"/>
  <c r="J129" i="9" s="1"/>
  <c r="F128" i="9"/>
  <c r="F123" i="9"/>
  <c r="H123" i="9" s="1"/>
  <c r="J123" i="9" s="1"/>
  <c r="C121" i="9"/>
  <c r="B121" i="9"/>
  <c r="D121" i="9" s="1"/>
  <c r="F121" i="9" s="1"/>
  <c r="H121" i="9" s="1"/>
  <c r="J121" i="9" s="1"/>
  <c r="F119" i="9"/>
  <c r="H119" i="9" s="1"/>
  <c r="J119" i="9" s="1"/>
  <c r="E118" i="9"/>
  <c r="E114" i="9"/>
  <c r="C114" i="9"/>
  <c r="E113" i="9"/>
  <c r="C113" i="9"/>
  <c r="M113" i="9" s="1"/>
  <c r="E112" i="9"/>
  <c r="C112" i="9"/>
  <c r="M112" i="9" s="1"/>
  <c r="E111" i="9"/>
  <c r="C111" i="9"/>
  <c r="M111" i="9" s="1"/>
  <c r="E110" i="9"/>
  <c r="C110" i="9"/>
  <c r="M110" i="9" s="1"/>
  <c r="E109" i="9"/>
  <c r="C109" i="9"/>
  <c r="M109" i="9" s="1"/>
  <c r="E108" i="9"/>
  <c r="C108" i="9"/>
  <c r="M108" i="9" s="1"/>
  <c r="E107" i="9"/>
  <c r="C107" i="9"/>
  <c r="M107" i="9" s="1"/>
  <c r="E106" i="9"/>
  <c r="C106" i="9"/>
  <c r="M106" i="9" s="1"/>
  <c r="E105" i="9"/>
  <c r="C105" i="9"/>
  <c r="M105" i="9" s="1"/>
  <c r="E104" i="9"/>
  <c r="C104" i="9"/>
  <c r="M104" i="9" s="1"/>
  <c r="J97" i="9"/>
  <c r="H96" i="9"/>
  <c r="J96" i="9" s="1"/>
  <c r="C95" i="9"/>
  <c r="F95" i="9" s="1"/>
  <c r="H95" i="9" s="1"/>
  <c r="J95" i="9" s="1"/>
  <c r="B95" i="9"/>
  <c r="H94" i="9"/>
  <c r="J94" i="9" s="1"/>
  <c r="B93" i="9"/>
  <c r="X69" i="9"/>
  <c r="U67" i="9"/>
  <c r="V67" i="9" s="1"/>
  <c r="H65" i="9"/>
  <c r="H64" i="9"/>
  <c r="J64" i="9" s="1"/>
  <c r="F62" i="9"/>
  <c r="H62" i="9" s="1"/>
  <c r="J62" i="9" s="1"/>
  <c r="F61" i="9"/>
  <c r="H61" i="9" s="1"/>
  <c r="J61" i="9" s="1"/>
  <c r="F60" i="9"/>
  <c r="H60" i="9" s="1"/>
  <c r="J60" i="9" s="1"/>
  <c r="F59" i="9"/>
  <c r="H59" i="9" s="1"/>
  <c r="J59" i="9" s="1"/>
  <c r="F58" i="9"/>
  <c r="H58" i="9" s="1"/>
  <c r="J58" i="9" s="1"/>
  <c r="F57" i="9"/>
  <c r="H57" i="9" s="1"/>
  <c r="J57" i="9" s="1"/>
  <c r="F56" i="9"/>
  <c r="H56" i="9" s="1"/>
  <c r="J56" i="9" s="1"/>
  <c r="F55" i="9"/>
  <c r="H55" i="9" s="1"/>
  <c r="F54" i="9"/>
  <c r="H54" i="9" s="1"/>
  <c r="J54" i="9" s="1"/>
  <c r="F53" i="9"/>
  <c r="H53" i="9" s="1"/>
  <c r="J53" i="9" s="1"/>
  <c r="F52" i="9"/>
  <c r="H52" i="9" s="1"/>
  <c r="J52" i="9" s="1"/>
  <c r="AA51" i="9"/>
  <c r="AB51" i="9" s="1"/>
  <c r="AC51" i="9" s="1"/>
  <c r="F51" i="9"/>
  <c r="H51" i="9" s="1"/>
  <c r="J51" i="9" s="1"/>
  <c r="F50" i="9"/>
  <c r="H50" i="9" s="1"/>
  <c r="J50" i="9" s="1"/>
  <c r="F49" i="9"/>
  <c r="H49" i="9" s="1"/>
  <c r="J49" i="9" s="1"/>
  <c r="H46" i="9"/>
  <c r="AB45" i="9"/>
  <c r="F45" i="9"/>
  <c r="H45" i="9" s="1"/>
  <c r="J45" i="9" s="1"/>
  <c r="K43" i="9"/>
  <c r="L43" i="9" s="1"/>
  <c r="M43" i="9" s="1"/>
  <c r="C43" i="9"/>
  <c r="E41" i="9"/>
  <c r="D41" i="9"/>
  <c r="C41" i="9"/>
  <c r="F41" i="9" s="1"/>
  <c r="D38" i="9"/>
  <c r="C38" i="9"/>
  <c r="D37" i="9"/>
  <c r="C37" i="9"/>
  <c r="E35" i="9"/>
  <c r="D35" i="9"/>
  <c r="M35" i="9" s="1"/>
  <c r="C35" i="9"/>
  <c r="E34" i="9"/>
  <c r="D34" i="9"/>
  <c r="M34" i="9" s="1"/>
  <c r="C34" i="9"/>
  <c r="E33" i="9"/>
  <c r="D33" i="9"/>
  <c r="M33" i="9" s="1"/>
  <c r="C33" i="9"/>
  <c r="E32" i="9"/>
  <c r="D32" i="9"/>
  <c r="M32" i="9" s="1"/>
  <c r="C32" i="9"/>
  <c r="E31" i="9"/>
  <c r="D31" i="9"/>
  <c r="M31" i="9" s="1"/>
  <c r="C31" i="9"/>
  <c r="E30" i="9"/>
  <c r="D30" i="9"/>
  <c r="M30" i="9" s="1"/>
  <c r="C30" i="9"/>
  <c r="E29" i="9"/>
  <c r="D29" i="9"/>
  <c r="M29" i="9" s="1"/>
  <c r="C29" i="9"/>
  <c r="E28" i="9"/>
  <c r="D28" i="9"/>
  <c r="M28" i="9" s="1"/>
  <c r="C28" i="9"/>
  <c r="E27" i="9"/>
  <c r="D27" i="9"/>
  <c r="M27" i="9" s="1"/>
  <c r="C27" i="9"/>
  <c r="E26" i="9"/>
  <c r="D26" i="9"/>
  <c r="M26" i="9" s="1"/>
  <c r="C26" i="9"/>
  <c r="E25" i="9"/>
  <c r="D25" i="9"/>
  <c r="M25" i="9" s="1"/>
  <c r="C25" i="9"/>
  <c r="M24" i="9"/>
  <c r="E24" i="9"/>
  <c r="D21" i="9"/>
  <c r="F21" i="9" s="1"/>
  <c r="H21" i="9" s="1"/>
  <c r="J21" i="9" s="1"/>
  <c r="D19" i="9"/>
  <c r="C19" i="9"/>
  <c r="F19" i="9" s="1"/>
  <c r="H19" i="9" s="1"/>
  <c r="J19" i="9" s="1"/>
  <c r="B16" i="9"/>
  <c r="B14" i="9"/>
  <c r="F14" i="9" s="1"/>
  <c r="E8" i="9"/>
  <c r="D8" i="9"/>
  <c r="C8" i="9"/>
  <c r="E7" i="9"/>
  <c r="D7" i="9"/>
  <c r="C7" i="9"/>
  <c r="F50" i="8"/>
  <c r="E50" i="8"/>
  <c r="F49" i="8"/>
  <c r="E49" i="8"/>
  <c r="F48" i="8"/>
  <c r="E48" i="8"/>
  <c r="F47" i="8"/>
  <c r="E47" i="8"/>
  <c r="F46" i="8"/>
  <c r="E46" i="8"/>
  <c r="F45" i="8"/>
  <c r="E45" i="8"/>
  <c r="F44" i="8"/>
  <c r="E44" i="8"/>
  <c r="F18" i="8"/>
  <c r="E18" i="8"/>
  <c r="D18" i="8"/>
  <c r="F17" i="8"/>
  <c r="E17" i="8"/>
  <c r="D17" i="8"/>
  <c r="F16" i="8"/>
  <c r="E16" i="8"/>
  <c r="D16" i="8"/>
  <c r="F15" i="8"/>
  <c r="E15" i="8"/>
  <c r="D15" i="8"/>
  <c r="F14" i="8"/>
  <c r="E14" i="8"/>
  <c r="D14" i="8"/>
  <c r="F13" i="8"/>
  <c r="E13" i="8"/>
  <c r="D13" i="8"/>
  <c r="F12" i="8"/>
  <c r="E12" i="8"/>
  <c r="D12" i="8"/>
  <c r="F11" i="8"/>
  <c r="E11" i="8"/>
  <c r="D11" i="8"/>
  <c r="F10" i="8"/>
  <c r="E10" i="8"/>
  <c r="D10" i="8"/>
  <c r="F9" i="8"/>
  <c r="E9" i="8"/>
  <c r="D9" i="8"/>
  <c r="E142" i="7"/>
  <c r="I125" i="7"/>
  <c r="I129" i="7" s="1"/>
  <c r="A122" i="7"/>
  <c r="I118" i="7"/>
  <c r="D111" i="7"/>
  <c r="AG105" i="7"/>
  <c r="AF105" i="7"/>
  <c r="AE105" i="7"/>
  <c r="AC105" i="7"/>
  <c r="AA111" i="7" s="1"/>
  <c r="AB105" i="7"/>
  <c r="AA105" i="7"/>
  <c r="D99" i="7"/>
  <c r="J97" i="7"/>
  <c r="J98" i="7" s="1"/>
  <c r="AC80" i="7" s="1"/>
  <c r="AA80" i="7" s="1"/>
  <c r="A88" i="7"/>
  <c r="E82" i="7"/>
  <c r="E80" i="7"/>
  <c r="B51" i="12" s="1"/>
  <c r="AC76" i="7"/>
  <c r="AB76" i="7"/>
  <c r="AA76" i="7"/>
  <c r="AG75" i="7"/>
  <c r="AF75" i="7"/>
  <c r="AE75" i="7"/>
  <c r="AC75" i="7"/>
  <c r="AA75" i="7"/>
  <c r="D74" i="7"/>
  <c r="AG69" i="7"/>
  <c r="AA117" i="7" s="1"/>
  <c r="AF69" i="7"/>
  <c r="AE69" i="7"/>
  <c r="D69" i="7"/>
  <c r="AG68" i="7"/>
  <c r="AA118" i="7" s="1"/>
  <c r="AF68" i="7"/>
  <c r="AE68" i="7"/>
  <c r="AC68" i="7"/>
  <c r="AB69" i="7" s="1"/>
  <c r="AB68" i="7"/>
  <c r="AA68" i="7"/>
  <c r="F65" i="7"/>
  <c r="AC64" i="7"/>
  <c r="AB64" i="7"/>
  <c r="AA64" i="7"/>
  <c r="C64" i="7"/>
  <c r="B8" i="9" s="1"/>
  <c r="B9" i="9" s="1"/>
  <c r="F9" i="9" s="1"/>
  <c r="H9" i="9" s="1"/>
  <c r="J9" i="9" s="1"/>
  <c r="AG63" i="7"/>
  <c r="AF63" i="7"/>
  <c r="AE63" i="7"/>
  <c r="AC63" i="7"/>
  <c r="AA63" i="7"/>
  <c r="C63" i="7"/>
  <c r="B7" i="9" s="1"/>
  <c r="B17" i="9" s="1"/>
  <c r="F17" i="9" s="1"/>
  <c r="H17" i="9" s="1"/>
  <c r="J17" i="9" s="1"/>
  <c r="J62" i="7"/>
  <c r="J61" i="7"/>
  <c r="F61" i="7"/>
  <c r="J60" i="7"/>
  <c r="D59" i="7"/>
  <c r="AG58" i="7"/>
  <c r="AF58" i="7"/>
  <c r="AE58" i="7"/>
  <c r="J58" i="7"/>
  <c r="AG57" i="7"/>
  <c r="AF57" i="7"/>
  <c r="AE57" i="7"/>
  <c r="J57" i="7"/>
  <c r="AG56" i="7"/>
  <c r="AF56" i="7"/>
  <c r="AE56" i="7"/>
  <c r="Q56" i="7"/>
  <c r="J56" i="7"/>
  <c r="Q55" i="7"/>
  <c r="J55" i="7"/>
  <c r="J54" i="7"/>
  <c r="F54" i="7"/>
  <c r="J53" i="7"/>
  <c r="F53" i="7"/>
  <c r="J52" i="7"/>
  <c r="F52" i="7"/>
  <c r="D52" i="7"/>
  <c r="D51" i="7"/>
  <c r="AG50" i="7"/>
  <c r="AA116" i="7" s="1"/>
  <c r="AF50" i="7"/>
  <c r="AE50" i="7"/>
  <c r="AC50" i="7"/>
  <c r="AA50" i="7"/>
  <c r="F50" i="7"/>
  <c r="AG49" i="7"/>
  <c r="AF49" i="7"/>
  <c r="AE49" i="7"/>
  <c r="F48" i="7"/>
  <c r="AG44" i="7"/>
  <c r="AE44" i="7"/>
  <c r="AC44" i="7"/>
  <c r="AC45" i="7" s="1"/>
  <c r="AA45" i="7" s="1"/>
  <c r="AA44" i="7"/>
  <c r="L44" i="7"/>
  <c r="AC40" i="7"/>
  <c r="AA40" i="7"/>
  <c r="I35" i="7"/>
  <c r="AC33" i="7"/>
  <c r="AA33" i="7"/>
  <c r="D33" i="7"/>
  <c r="AC32" i="7"/>
  <c r="AA32" i="7"/>
  <c r="O32" i="7"/>
  <c r="D32" i="7"/>
  <c r="AG31" i="7"/>
  <c r="AE31" i="7"/>
  <c r="AC31" i="7"/>
  <c r="AA31" i="7"/>
  <c r="D31" i="7"/>
  <c r="AG30" i="7"/>
  <c r="AE30" i="7"/>
  <c r="AC30" i="7"/>
  <c r="AA30" i="7"/>
  <c r="AG29" i="7"/>
  <c r="AE29" i="7"/>
  <c r="AC29" i="7"/>
  <c r="AA29" i="7"/>
  <c r="AG28" i="7"/>
  <c r="AE28" i="7"/>
  <c r="AC28" i="7"/>
  <c r="AA28" i="7"/>
  <c r="AG27" i="7"/>
  <c r="AE27" i="7"/>
  <c r="AC27" i="7"/>
  <c r="AA27" i="7"/>
  <c r="AG26" i="7"/>
  <c r="AE26" i="7"/>
  <c r="AC26" i="7"/>
  <c r="AA26" i="7"/>
  <c r="AG25" i="7"/>
  <c r="AE25" i="7"/>
  <c r="AC25" i="7"/>
  <c r="AA25" i="7"/>
  <c r="N25" i="7"/>
  <c r="J25" i="7"/>
  <c r="J26" i="7" s="1"/>
  <c r="I20" i="7"/>
  <c r="D20" i="7"/>
  <c r="J18" i="7"/>
  <c r="I18" i="7"/>
  <c r="L17" i="7"/>
  <c r="AE16" i="7"/>
  <c r="AA16" i="7"/>
  <c r="AE15" i="7"/>
  <c r="AA15" i="7"/>
  <c r="AE14" i="7"/>
  <c r="AC14" i="7"/>
  <c r="AD14" i="7" s="1"/>
  <c r="AB14" i="7"/>
  <c r="AA14" i="7"/>
  <c r="AK13" i="7"/>
  <c r="AJ13" i="7" s="1"/>
  <c r="AI13" i="7"/>
  <c r="AH13" i="7"/>
  <c r="AG13" i="7"/>
  <c r="AE13" i="7"/>
  <c r="AC13" i="7"/>
  <c r="AD13" i="7" s="1"/>
  <c r="AB13" i="7"/>
  <c r="AA13" i="7"/>
  <c r="AK12" i="7"/>
  <c r="AJ12" i="7" s="1"/>
  <c r="AI12" i="7"/>
  <c r="AH12" i="7"/>
  <c r="AG12" i="7"/>
  <c r="AE12" i="7"/>
  <c r="AC12" i="7"/>
  <c r="AB12" i="7"/>
  <c r="AA12" i="7"/>
  <c r="AK11" i="7"/>
  <c r="AJ11" i="7" s="1"/>
  <c r="AI11" i="7"/>
  <c r="AH11" i="7"/>
  <c r="AG11" i="7"/>
  <c r="AE11" i="7"/>
  <c r="AC11" i="7" s="1"/>
  <c r="AB11" i="7"/>
  <c r="AA11" i="7"/>
  <c r="D11" i="7"/>
  <c r="AK10" i="7"/>
  <c r="AI10" i="7" s="1"/>
  <c r="AH10" i="7"/>
  <c r="AG10" i="7"/>
  <c r="AE10" i="7"/>
  <c r="AC10" i="7"/>
  <c r="AB10" i="7"/>
  <c r="AA10" i="7"/>
  <c r="M10" i="7"/>
  <c r="AK9" i="7"/>
  <c r="AI9" i="7"/>
  <c r="AH9" i="7"/>
  <c r="AG9" i="7"/>
  <c r="AE9" i="7"/>
  <c r="AC9" i="7" s="1"/>
  <c r="AB9" i="7"/>
  <c r="AA9" i="7"/>
  <c r="Q9" i="7"/>
  <c r="O9" i="7"/>
  <c r="M9" i="7"/>
  <c r="AK8" i="7"/>
  <c r="AI8" i="7"/>
  <c r="AH8" i="7"/>
  <c r="AG8" i="7"/>
  <c r="AE8" i="7"/>
  <c r="AC8" i="7" s="1"/>
  <c r="AB8" i="7"/>
  <c r="AA8" i="7"/>
  <c r="Q8" i="7"/>
  <c r="O8" i="7"/>
  <c r="M8" i="7"/>
  <c r="AK7" i="7"/>
  <c r="AI7" i="7" s="1"/>
  <c r="AH7" i="7"/>
  <c r="AG7" i="7"/>
  <c r="AE7" i="7"/>
  <c r="AC7" i="7"/>
  <c r="AE120" i="7" s="1"/>
  <c r="AB7" i="7"/>
  <c r="AG120" i="7" s="1"/>
  <c r="AA7" i="7"/>
  <c r="Q7" i="7"/>
  <c r="P7" i="7"/>
  <c r="M7" i="7"/>
  <c r="M18" i="7" s="1"/>
  <c r="N18" i="7" s="1"/>
  <c r="J7" i="7"/>
  <c r="C4" i="7"/>
  <c r="C1" i="7"/>
  <c r="F94" i="6"/>
  <c r="P94" i="6" s="1"/>
  <c r="F93" i="6"/>
  <c r="P93" i="6" s="1"/>
  <c r="F92" i="6"/>
  <c r="P92" i="6" s="1"/>
  <c r="F91" i="6"/>
  <c r="P91" i="6" s="1"/>
  <c r="F86" i="6"/>
  <c r="P86" i="6" s="1"/>
  <c r="F85" i="6"/>
  <c r="P85" i="6" s="1"/>
  <c r="D79" i="6"/>
  <c r="N79" i="6" s="1"/>
  <c r="B79" i="6"/>
  <c r="L79" i="6" s="1"/>
  <c r="D78" i="6"/>
  <c r="N78" i="6" s="1"/>
  <c r="B78" i="6"/>
  <c r="L78" i="6" s="1"/>
  <c r="D77" i="6"/>
  <c r="N77" i="6" s="1"/>
  <c r="B77" i="6"/>
  <c r="L77" i="6" s="1"/>
  <c r="D76" i="6"/>
  <c r="N76" i="6" s="1"/>
  <c r="B76" i="6"/>
  <c r="L76" i="6" s="1"/>
  <c r="D75" i="6"/>
  <c r="N75" i="6" s="1"/>
  <c r="B75" i="6"/>
  <c r="L75" i="6" s="1"/>
  <c r="D74" i="6"/>
  <c r="N74" i="6" s="1"/>
  <c r="B74" i="6"/>
  <c r="L74" i="6" s="1"/>
  <c r="D73" i="6"/>
  <c r="N73" i="6" s="1"/>
  <c r="B73" i="6"/>
  <c r="L73" i="6" s="1"/>
  <c r="D72" i="6"/>
  <c r="N72" i="6" s="1"/>
  <c r="B72" i="6"/>
  <c r="L72" i="6" s="1"/>
  <c r="D71" i="6"/>
  <c r="N71" i="6" s="1"/>
  <c r="B71" i="6"/>
  <c r="L71" i="6" s="1"/>
  <c r="D70" i="6"/>
  <c r="N70" i="6" s="1"/>
  <c r="B70" i="6"/>
  <c r="L70" i="6" s="1"/>
  <c r="F64" i="6"/>
  <c r="P64" i="6" s="1"/>
  <c r="F63" i="6"/>
  <c r="P63" i="6" s="1"/>
  <c r="F62" i="6"/>
  <c r="P62" i="6" s="1"/>
  <c r="F61" i="6"/>
  <c r="P61" i="6" s="1"/>
  <c r="F60" i="6"/>
  <c r="P60" i="6" s="1"/>
  <c r="N52" i="6"/>
  <c r="D52" i="6"/>
  <c r="N51" i="6"/>
  <c r="D51" i="6"/>
  <c r="N48" i="6"/>
  <c r="D48" i="6"/>
  <c r="P43" i="6"/>
  <c r="P42" i="6"/>
  <c r="F42" i="6"/>
  <c r="D33" i="6"/>
  <c r="N33" i="6" s="1"/>
  <c r="B33" i="6"/>
  <c r="L33" i="6" s="1"/>
  <c r="D32" i="6"/>
  <c r="N32" i="6" s="1"/>
  <c r="B32" i="6"/>
  <c r="L32" i="6" s="1"/>
  <c r="D31" i="6"/>
  <c r="N31" i="6" s="1"/>
  <c r="B31" i="6"/>
  <c r="L31" i="6" s="1"/>
  <c r="D30" i="6"/>
  <c r="N30" i="6" s="1"/>
  <c r="B30" i="6"/>
  <c r="L30" i="6" s="1"/>
  <c r="D29" i="6"/>
  <c r="N29" i="6" s="1"/>
  <c r="B29" i="6"/>
  <c r="L29" i="6" s="1"/>
  <c r="D28" i="6"/>
  <c r="N28" i="6" s="1"/>
  <c r="B28" i="6"/>
  <c r="L28" i="6" s="1"/>
  <c r="D27" i="6"/>
  <c r="N27" i="6" s="1"/>
  <c r="B27" i="6"/>
  <c r="L27" i="6" s="1"/>
  <c r="D26" i="6"/>
  <c r="N26" i="6" s="1"/>
  <c r="B26" i="6"/>
  <c r="L26" i="6" s="1"/>
  <c r="D25" i="6"/>
  <c r="N25" i="6" s="1"/>
  <c r="B25" i="6"/>
  <c r="L25" i="6" s="1"/>
  <c r="D24" i="6"/>
  <c r="N24" i="6" s="1"/>
  <c r="B24" i="6"/>
  <c r="L24" i="6" s="1"/>
  <c r="P17" i="6"/>
  <c r="F17" i="6"/>
  <c r="F16" i="6"/>
  <c r="P16" i="6" s="1"/>
  <c r="F15" i="6"/>
  <c r="P15" i="6" s="1"/>
  <c r="F14" i="6"/>
  <c r="P14" i="6" s="1"/>
  <c r="N5" i="6"/>
  <c r="D5" i="6"/>
  <c r="N4" i="6"/>
  <c r="D4" i="6"/>
  <c r="N1" i="6"/>
  <c r="D1" i="6"/>
  <c r="I31" i="5"/>
  <c r="G31" i="5"/>
  <c r="E31" i="5"/>
  <c r="B18" i="13" s="1"/>
  <c r="J18" i="13" s="1"/>
  <c r="G18" i="5"/>
  <c r="E17" i="5"/>
  <c r="E18" i="5" s="1"/>
  <c r="O11" i="5"/>
  <c r="D5" i="5"/>
  <c r="D4" i="5"/>
  <c r="D1" i="5"/>
  <c r="J38" i="4"/>
  <c r="H33" i="4"/>
  <c r="K31" i="4"/>
  <c r="J25" i="4"/>
  <c r="G25" i="4"/>
  <c r="K23" i="4"/>
  <c r="H23" i="4"/>
  <c r="K22" i="4"/>
  <c r="H22" i="4"/>
  <c r="K19" i="4"/>
  <c r="K18" i="4"/>
  <c r="H18" i="4"/>
  <c r="H17" i="4"/>
  <c r="K16" i="4"/>
  <c r="H16" i="4"/>
  <c r="K13" i="4"/>
  <c r="H13" i="4"/>
  <c r="K11" i="4"/>
  <c r="H11" i="4"/>
  <c r="K10" i="4"/>
  <c r="H10" i="4"/>
  <c r="Y5" i="4"/>
  <c r="O5" i="4"/>
  <c r="D5" i="4"/>
  <c r="Y4" i="4"/>
  <c r="O4" i="4"/>
  <c r="D4" i="4"/>
  <c r="O3" i="4"/>
  <c r="D3" i="4" s="1"/>
  <c r="Y1" i="4"/>
  <c r="O1" i="4" s="1"/>
  <c r="D1" i="4" s="1"/>
  <c r="D1" i="3"/>
  <c r="D46" i="2"/>
  <c r="A24" i="2"/>
  <c r="D1" i="2"/>
  <c r="D1" i="1"/>
  <c r="Q30" i="39" l="1"/>
  <c r="L45" i="39"/>
  <c r="Q29" i="39"/>
  <c r="L44" i="39"/>
  <c r="Q28" i="39"/>
  <c r="L43" i="39"/>
  <c r="Q27" i="39"/>
  <c r="L42" i="39"/>
  <c r="Q26" i="39"/>
  <c r="L41" i="39"/>
  <c r="Q25" i="39"/>
  <c r="L40" i="39"/>
  <c r="Q24" i="39"/>
  <c r="L39" i="39"/>
  <c r="L38" i="39"/>
  <c r="P38" i="39" s="1"/>
  <c r="Q38" i="39" s="1"/>
  <c r="Q23" i="39"/>
  <c r="F26" i="39"/>
  <c r="G26" i="39" s="1"/>
  <c r="C41" i="39" s="1"/>
  <c r="F30" i="39"/>
  <c r="G30" i="39" s="1"/>
  <c r="C45" i="39" s="1"/>
  <c r="F29" i="39"/>
  <c r="G29" i="39" s="1"/>
  <c r="C44" i="39" s="1"/>
  <c r="F28" i="39"/>
  <c r="G28" i="39" s="1"/>
  <c r="C43" i="39" s="1"/>
  <c r="F27" i="39"/>
  <c r="G27" i="39" s="1"/>
  <c r="C42" i="39" s="1"/>
  <c r="F25" i="39"/>
  <c r="G25" i="39" s="1"/>
  <c r="C40" i="39" s="1"/>
  <c r="F23" i="39"/>
  <c r="G23" i="39" s="1"/>
  <c r="C38" i="39" s="1"/>
  <c r="G38" i="39" s="1"/>
  <c r="F24" i="39"/>
  <c r="G24" i="39" s="1"/>
  <c r="C39" i="39" s="1"/>
  <c r="O39" i="39"/>
  <c r="O40" i="39"/>
  <c r="O41" i="39"/>
  <c r="O42" i="39"/>
  <c r="O43" i="39"/>
  <c r="O44" i="39"/>
  <c r="O45" i="39"/>
  <c r="F39" i="39"/>
  <c r="F40" i="39"/>
  <c r="F41" i="39"/>
  <c r="F42" i="39"/>
  <c r="F43" i="39"/>
  <c r="F44" i="39"/>
  <c r="F45" i="39"/>
  <c r="E77" i="38"/>
  <c r="K58" i="38"/>
  <c r="N77" i="38" s="1"/>
  <c r="K35" i="38"/>
  <c r="K32" i="38"/>
  <c r="B68" i="38"/>
  <c r="K28" i="38"/>
  <c r="B27" i="38"/>
  <c r="U52" i="38"/>
  <c r="U50" i="38"/>
  <c r="U48" i="38"/>
  <c r="K26" i="38"/>
  <c r="U82" i="38"/>
  <c r="U83" i="38"/>
  <c r="U85" i="38"/>
  <c r="U86" i="38"/>
  <c r="U87" i="38"/>
  <c r="U55" i="38"/>
  <c r="U61" i="38"/>
  <c r="U70" i="38"/>
  <c r="U66" i="38"/>
  <c r="O34" i="37"/>
  <c r="P34" i="37" s="1"/>
  <c r="H34" i="37"/>
  <c r="K44" i="37"/>
  <c r="K72" i="37"/>
  <c r="K54" i="37"/>
  <c r="J44" i="37"/>
  <c r="M44" i="37" s="1"/>
  <c r="J54" i="37"/>
  <c r="M54" i="37" s="1"/>
  <c r="K53" i="37"/>
  <c r="K43" i="37"/>
  <c r="K71" i="37"/>
  <c r="J43" i="37"/>
  <c r="M43" i="37" s="1"/>
  <c r="J53" i="37"/>
  <c r="M53" i="37" s="1"/>
  <c r="K42" i="37"/>
  <c r="K52" i="37"/>
  <c r="K70" i="37"/>
  <c r="J52" i="37"/>
  <c r="M52" i="37" s="1"/>
  <c r="J42" i="37"/>
  <c r="M42" i="37" s="1"/>
  <c r="K51" i="37"/>
  <c r="K69" i="37"/>
  <c r="K41" i="37"/>
  <c r="J41" i="37"/>
  <c r="M41" i="37" s="1"/>
  <c r="J51" i="37"/>
  <c r="M51" i="37" s="1"/>
  <c r="N51" i="37" s="1"/>
  <c r="K40" i="37"/>
  <c r="K50" i="37"/>
  <c r="K68" i="37"/>
  <c r="J50" i="37"/>
  <c r="M50" i="37" s="1"/>
  <c r="J40" i="37"/>
  <c r="M40" i="37" s="1"/>
  <c r="C78" i="35"/>
  <c r="T78" i="35" s="1"/>
  <c r="S27" i="35"/>
  <c r="B174" i="31"/>
  <c r="J174" i="31" s="1"/>
  <c r="S25" i="35"/>
  <c r="H68" i="35"/>
  <c r="Y68" i="35" s="1"/>
  <c r="V156" i="31"/>
  <c r="H66" i="35"/>
  <c r="S24" i="35"/>
  <c r="B19" i="36"/>
  <c r="K19" i="36" s="1"/>
  <c r="S11" i="35"/>
  <c r="H38" i="35"/>
  <c r="S10" i="35"/>
  <c r="S9" i="35"/>
  <c r="H34" i="35"/>
  <c r="L137" i="34"/>
  <c r="D138" i="34"/>
  <c r="B96" i="34"/>
  <c r="J96" i="34" s="1"/>
  <c r="J37" i="34"/>
  <c r="B95" i="34"/>
  <c r="J95" i="34" s="1"/>
  <c r="B61" i="34"/>
  <c r="J36" i="34"/>
  <c r="B94" i="34"/>
  <c r="J94" i="34" s="1"/>
  <c r="B93" i="34"/>
  <c r="J93" i="34" s="1"/>
  <c r="B106" i="34"/>
  <c r="B137" i="34"/>
  <c r="B48" i="34"/>
  <c r="J31" i="34"/>
  <c r="J48" i="34" s="1"/>
  <c r="J137" i="34"/>
  <c r="B138" i="34"/>
  <c r="B203" i="33"/>
  <c r="J203" i="33" s="1"/>
  <c r="J172" i="33"/>
  <c r="B174" i="33"/>
  <c r="B171" i="33" s="1"/>
  <c r="J171" i="33" s="1"/>
  <c r="V166" i="33"/>
  <c r="V156" i="33"/>
  <c r="V153" i="33"/>
  <c r="J152" i="33"/>
  <c r="D139" i="33"/>
  <c r="L138" i="33"/>
  <c r="J119" i="33"/>
  <c r="B99" i="33"/>
  <c r="J99" i="33" s="1"/>
  <c r="J37" i="33"/>
  <c r="B98" i="33"/>
  <c r="J98" i="33" s="1"/>
  <c r="B63" i="33"/>
  <c r="B96" i="33"/>
  <c r="J96" i="33" s="1"/>
  <c r="J36" i="33"/>
  <c r="S98" i="33"/>
  <c r="T98" i="33" s="1"/>
  <c r="B71" i="33"/>
  <c r="J71" i="33" s="1"/>
  <c r="B97" i="33"/>
  <c r="J97" i="33" s="1"/>
  <c r="J35" i="33"/>
  <c r="B69" i="33"/>
  <c r="J69" i="33" s="1"/>
  <c r="B108" i="33"/>
  <c r="J31" i="33"/>
  <c r="J13" i="33"/>
  <c r="B13" i="34"/>
  <c r="B61" i="33"/>
  <c r="J61" i="33" s="1"/>
  <c r="B12" i="34"/>
  <c r="J12" i="33"/>
  <c r="B9" i="33"/>
  <c r="B56" i="33"/>
  <c r="A138" i="33" s="1"/>
  <c r="I138" i="33" s="1"/>
  <c r="B173" i="32"/>
  <c r="J171" i="32"/>
  <c r="B200" i="32"/>
  <c r="J200" i="32" s="1"/>
  <c r="B170" i="32"/>
  <c r="J170" i="32" s="1"/>
  <c r="V155" i="32"/>
  <c r="V165" i="32"/>
  <c r="V152" i="32"/>
  <c r="J151" i="32"/>
  <c r="B150" i="32"/>
  <c r="J149" i="32"/>
  <c r="D139" i="32"/>
  <c r="L138" i="32"/>
  <c r="J119" i="32"/>
  <c r="J31" i="32"/>
  <c r="J48" i="32" s="1"/>
  <c r="B48" i="32"/>
  <c r="B200" i="31"/>
  <c r="J200" i="31" s="1"/>
  <c r="B173" i="31"/>
  <c r="J171" i="31"/>
  <c r="V165" i="31"/>
  <c r="V155" i="31"/>
  <c r="J119" i="31"/>
  <c r="J56" i="31"/>
  <c r="J36" i="31"/>
  <c r="B149" i="31"/>
  <c r="B97" i="31"/>
  <c r="J97" i="31" s="1"/>
  <c r="S98" i="31"/>
  <c r="T98" i="31" s="1"/>
  <c r="B71" i="31"/>
  <c r="B96" i="31"/>
  <c r="J96" i="31" s="1"/>
  <c r="J31" i="31"/>
  <c r="J48" i="31" s="1"/>
  <c r="B138" i="31"/>
  <c r="J138" i="31" s="1"/>
  <c r="B48" i="31"/>
  <c r="B108" i="31"/>
  <c r="J14" i="31"/>
  <c r="B14" i="34" s="1"/>
  <c r="J14" i="34" s="1"/>
  <c r="B14" i="32"/>
  <c r="J14" i="32" s="1"/>
  <c r="F36" i="30"/>
  <c r="N36" i="30" s="1"/>
  <c r="B112" i="30"/>
  <c r="B123" i="30" s="1"/>
  <c r="F32" i="30"/>
  <c r="F33" i="30"/>
  <c r="N33" i="30" s="1"/>
  <c r="F35" i="30"/>
  <c r="R46" i="30"/>
  <c r="R47" i="30" s="1"/>
  <c r="R49" i="30" s="1"/>
  <c r="R43" i="30"/>
  <c r="B106" i="30"/>
  <c r="J106" i="30" s="1"/>
  <c r="J18" i="30"/>
  <c r="K46" i="29"/>
  <c r="K47" i="29" s="1"/>
  <c r="B47" i="29"/>
  <c r="B85" i="29"/>
  <c r="B48" i="29"/>
  <c r="K18" i="29"/>
  <c r="K11" i="29"/>
  <c r="K104" i="29" s="1"/>
  <c r="B13" i="29"/>
  <c r="K13" i="29" s="1"/>
  <c r="U104" i="28"/>
  <c r="K33" i="28"/>
  <c r="T19" i="28"/>
  <c r="B29" i="28"/>
  <c r="K76" i="28" s="1"/>
  <c r="J76" i="28" s="1"/>
  <c r="B40" i="28"/>
  <c r="T39" i="28" s="1"/>
  <c r="B39" i="28"/>
  <c r="B81" i="28" s="1"/>
  <c r="A81" i="28" s="1"/>
  <c r="O21" i="28"/>
  <c r="T18" i="28"/>
  <c r="AI20" i="28" s="1"/>
  <c r="B28" i="28"/>
  <c r="B36" i="28" s="1"/>
  <c r="T16" i="28"/>
  <c r="AE34" i="28" s="1"/>
  <c r="K35" i="28"/>
  <c r="J33" i="27"/>
  <c r="B71" i="27"/>
  <c r="J32" i="27"/>
  <c r="J31" i="27"/>
  <c r="B64" i="27"/>
  <c r="T32" i="27"/>
  <c r="L25" i="27"/>
  <c r="T25" i="27"/>
  <c r="L24" i="27"/>
  <c r="J9" i="27"/>
  <c r="B75" i="27"/>
  <c r="J75" i="27" s="1"/>
  <c r="L67" i="26"/>
  <c r="L66" i="26"/>
  <c r="L65" i="26"/>
  <c r="L64" i="26"/>
  <c r="L63" i="26"/>
  <c r="L62" i="26"/>
  <c r="K37" i="26"/>
  <c r="C37" i="26"/>
  <c r="M37" i="26" s="1"/>
  <c r="K36" i="26"/>
  <c r="C36" i="26"/>
  <c r="M36" i="26" s="1"/>
  <c r="C35" i="26"/>
  <c r="M35" i="26" s="1"/>
  <c r="K35" i="26"/>
  <c r="C34" i="26"/>
  <c r="M34" i="26" s="1"/>
  <c r="K34" i="26"/>
  <c r="C33" i="26"/>
  <c r="M33" i="26" s="1"/>
  <c r="K33" i="26"/>
  <c r="C32" i="26"/>
  <c r="M32" i="26" s="1"/>
  <c r="K32" i="26"/>
  <c r="K31" i="26"/>
  <c r="C31" i="26"/>
  <c r="M31" i="26" s="1"/>
  <c r="K30" i="26"/>
  <c r="C30" i="26"/>
  <c r="M30" i="26" s="1"/>
  <c r="K29" i="26"/>
  <c r="C29" i="26"/>
  <c r="M29" i="26" s="1"/>
  <c r="C28" i="26"/>
  <c r="K28" i="26"/>
  <c r="L19" i="26"/>
  <c r="J37" i="25"/>
  <c r="D82" i="25"/>
  <c r="P132" i="25"/>
  <c r="J36" i="25"/>
  <c r="D81" i="25"/>
  <c r="P131" i="25"/>
  <c r="J35" i="25"/>
  <c r="P130" i="25"/>
  <c r="D80" i="25"/>
  <c r="P129" i="25"/>
  <c r="J34" i="25"/>
  <c r="D79" i="25"/>
  <c r="D78" i="25"/>
  <c r="J33" i="25"/>
  <c r="P128" i="25"/>
  <c r="P127" i="25"/>
  <c r="J32" i="25"/>
  <c r="D77" i="25"/>
  <c r="J31" i="25"/>
  <c r="P126" i="25"/>
  <c r="J30" i="25"/>
  <c r="P125" i="25"/>
  <c r="P124" i="25"/>
  <c r="J29" i="25"/>
  <c r="B112" i="25"/>
  <c r="B91" i="25"/>
  <c r="B92" i="25" s="1"/>
  <c r="P123" i="25"/>
  <c r="J28" i="25"/>
  <c r="B87" i="25"/>
  <c r="B106" i="25"/>
  <c r="J106" i="25" s="1"/>
  <c r="J20" i="25"/>
  <c r="J14" i="25"/>
  <c r="E126" i="25"/>
  <c r="F126" i="25" s="1"/>
  <c r="J13" i="25"/>
  <c r="K188" i="24"/>
  <c r="B189" i="24"/>
  <c r="K189" i="24" s="1"/>
  <c r="B177" i="24"/>
  <c r="K177" i="24" s="1"/>
  <c r="K176" i="24"/>
  <c r="K117" i="24"/>
  <c r="K114" i="24"/>
  <c r="K112" i="24"/>
  <c r="B113" i="24"/>
  <c r="N140" i="24"/>
  <c r="N149" i="24" s="1"/>
  <c r="E149" i="24"/>
  <c r="N86" i="24"/>
  <c r="E148" i="24"/>
  <c r="N148" i="24" s="1"/>
  <c r="E147" i="24"/>
  <c r="N147" i="24" s="1"/>
  <c r="N85" i="24"/>
  <c r="E138" i="24"/>
  <c r="N138" i="24" s="1"/>
  <c r="N76" i="24"/>
  <c r="N36" i="24"/>
  <c r="E77" i="24"/>
  <c r="B23" i="24"/>
  <c r="B62" i="24"/>
  <c r="K12" i="24"/>
  <c r="B164" i="24"/>
  <c r="K11" i="24"/>
  <c r="T21" i="23"/>
  <c r="K32" i="23"/>
  <c r="AC32" i="23" s="1"/>
  <c r="T20" i="23"/>
  <c r="T18" i="23"/>
  <c r="B41" i="23"/>
  <c r="B42" i="23"/>
  <c r="T42" i="23" s="1"/>
  <c r="B31" i="23"/>
  <c r="K74" i="23" s="1"/>
  <c r="J74" i="23" s="1"/>
  <c r="O20" i="23"/>
  <c r="AG20" i="23" s="1"/>
  <c r="T17" i="23"/>
  <c r="B30" i="23"/>
  <c r="K34" i="23"/>
  <c r="AC34" i="23" s="1"/>
  <c r="T16" i="23"/>
  <c r="P23" i="23"/>
  <c r="T15" i="23"/>
  <c r="AH23" i="23" s="1"/>
  <c r="O35" i="23"/>
  <c r="B39" i="23"/>
  <c r="L36" i="23" s="1"/>
  <c r="B40" i="23"/>
  <c r="T40" i="23" s="1"/>
  <c r="T14" i="23"/>
  <c r="C50" i="23"/>
  <c r="U50" i="23" s="1"/>
  <c r="T23" i="22"/>
  <c r="B24" i="22"/>
  <c r="T24" i="22" s="1"/>
  <c r="T21" i="22"/>
  <c r="J24" i="22"/>
  <c r="G101" i="22"/>
  <c r="U101" i="22" s="1"/>
  <c r="T20" i="22"/>
  <c r="G100" i="22"/>
  <c r="U100" i="22" s="1"/>
  <c r="AE19" i="22"/>
  <c r="K21" i="22"/>
  <c r="AD21" i="22" s="1"/>
  <c r="C99" i="22"/>
  <c r="T19" i="22"/>
  <c r="B41" i="22"/>
  <c r="B31" i="22"/>
  <c r="K74" i="22" s="1"/>
  <c r="J74" i="22" s="1"/>
  <c r="O20" i="22"/>
  <c r="AH21" i="22" s="1"/>
  <c r="T18" i="22"/>
  <c r="T17" i="22"/>
  <c r="K34" i="22"/>
  <c r="AD35" i="22" s="1"/>
  <c r="B30" i="22"/>
  <c r="B78" i="22" s="1"/>
  <c r="A78" i="22" s="1"/>
  <c r="G104" i="22"/>
  <c r="T16" i="22"/>
  <c r="B38" i="22"/>
  <c r="T15" i="22"/>
  <c r="AI24" i="22" s="1"/>
  <c r="P23" i="22"/>
  <c r="O35" i="22"/>
  <c r="C88" i="22"/>
  <c r="U88" i="22" s="1"/>
  <c r="T14" i="22"/>
  <c r="C50" i="22"/>
  <c r="U50" i="22" s="1"/>
  <c r="B50" i="22"/>
  <c r="T50" i="22" s="1"/>
  <c r="B40" i="22"/>
  <c r="T40" i="22" s="1"/>
  <c r="B39" i="22"/>
  <c r="J36" i="21"/>
  <c r="J35" i="21"/>
  <c r="J34" i="21"/>
  <c r="J33" i="21"/>
  <c r="J32" i="21"/>
  <c r="B92" i="21"/>
  <c r="B98" i="21"/>
  <c r="M28" i="21"/>
  <c r="S54" i="21"/>
  <c r="L28" i="21"/>
  <c r="L62" i="21" s="1"/>
  <c r="D62" i="21"/>
  <c r="S53" i="21"/>
  <c r="B22" i="23"/>
  <c r="T69" i="21"/>
  <c r="V84" i="21" s="1"/>
  <c r="M27" i="21"/>
  <c r="T46" i="21"/>
  <c r="L27" i="21"/>
  <c r="S47" i="21"/>
  <c r="M26" i="21"/>
  <c r="T38" i="21"/>
  <c r="L26" i="21"/>
  <c r="S40" i="21"/>
  <c r="M25" i="21"/>
  <c r="S35" i="21"/>
  <c r="L25" i="21"/>
  <c r="S34" i="21"/>
  <c r="T26" i="21"/>
  <c r="M24" i="21"/>
  <c r="S29" i="21"/>
  <c r="F24" i="21"/>
  <c r="L24" i="21"/>
  <c r="B51" i="21"/>
  <c r="B102" i="21"/>
  <c r="J9" i="21"/>
  <c r="J99" i="21" s="1"/>
  <c r="AB99" i="20"/>
  <c r="W99" i="20"/>
  <c r="Y135" i="20"/>
  <c r="AB135" i="20" s="1"/>
  <c r="Y133" i="20"/>
  <c r="AB133" i="20" s="1"/>
  <c r="Y132" i="20"/>
  <c r="AB132" i="20" s="1"/>
  <c r="Y131" i="20"/>
  <c r="AB131" i="20" s="1"/>
  <c r="E91" i="20"/>
  <c r="U90" i="20"/>
  <c r="G81" i="20"/>
  <c r="G80" i="20"/>
  <c r="G79" i="20"/>
  <c r="G78" i="20"/>
  <c r="G77" i="20"/>
  <c r="G76" i="20"/>
  <c r="G75" i="20"/>
  <c r="G74" i="20"/>
  <c r="G73" i="20"/>
  <c r="G71" i="20"/>
  <c r="B61" i="20"/>
  <c r="G72" i="20"/>
  <c r="G84" i="20"/>
  <c r="G83" i="20"/>
  <c r="G82" i="20"/>
  <c r="R48" i="20"/>
  <c r="AA36" i="20"/>
  <c r="B38" i="20"/>
  <c r="D151" i="20"/>
  <c r="D150" i="20"/>
  <c r="D153" i="20"/>
  <c r="D149" i="20"/>
  <c r="D152" i="20"/>
  <c r="D155" i="20"/>
  <c r="AA35" i="20"/>
  <c r="R38" i="20" s="1"/>
  <c r="D154" i="20"/>
  <c r="D156" i="20"/>
  <c r="AA128" i="20"/>
  <c r="K128" i="20"/>
  <c r="J131" i="20"/>
  <c r="R35" i="20"/>
  <c r="AA135" i="20"/>
  <c r="Z135" i="20"/>
  <c r="J134" i="20"/>
  <c r="AA133" i="20"/>
  <c r="Z133" i="20"/>
  <c r="J133" i="20"/>
  <c r="AA132" i="20"/>
  <c r="Z132" i="20"/>
  <c r="J132" i="20"/>
  <c r="Z131" i="20"/>
  <c r="AA131" i="20"/>
  <c r="R17" i="20"/>
  <c r="O11" i="20"/>
  <c r="C130" i="20"/>
  <c r="C129" i="20"/>
  <c r="C128" i="20"/>
  <c r="AD105" i="20"/>
  <c r="AD104" i="20"/>
  <c r="Z104" i="20" s="1"/>
  <c r="AD103" i="20"/>
  <c r="Z103" i="20" s="1"/>
  <c r="AD100" i="20"/>
  <c r="Z100" i="20" s="1"/>
  <c r="AD98" i="20"/>
  <c r="AD97" i="20"/>
  <c r="AD94" i="20"/>
  <c r="AD93" i="20"/>
  <c r="AD90" i="20"/>
  <c r="AD91" i="20"/>
  <c r="AD99" i="20"/>
  <c r="Z99" i="20" s="1"/>
  <c r="AD92" i="20"/>
  <c r="AD95" i="20"/>
  <c r="B30" i="20"/>
  <c r="R14" i="20"/>
  <c r="C132" i="20"/>
  <c r="C133" i="20"/>
  <c r="C149" i="20"/>
  <c r="AD96" i="20"/>
  <c r="C151" i="20"/>
  <c r="C152" i="20"/>
  <c r="C153" i="20"/>
  <c r="C154" i="20"/>
  <c r="C155" i="20"/>
  <c r="C156" i="20"/>
  <c r="E156" i="20" s="1"/>
  <c r="C131" i="20"/>
  <c r="L162" i="20"/>
  <c r="O162" i="20"/>
  <c r="L166" i="20"/>
  <c r="D167" i="20" s="1"/>
  <c r="T162" i="20" s="1"/>
  <c r="O166" i="20"/>
  <c r="C150" i="20"/>
  <c r="L99" i="19"/>
  <c r="T99" i="19"/>
  <c r="AA36" i="19"/>
  <c r="D152" i="19"/>
  <c r="D153" i="19"/>
  <c r="D150" i="19"/>
  <c r="AA35" i="19"/>
  <c r="R38" i="19" s="1"/>
  <c r="D151" i="19"/>
  <c r="D149" i="19"/>
  <c r="D154" i="19"/>
  <c r="B38" i="19"/>
  <c r="D155" i="19"/>
  <c r="D156" i="19"/>
  <c r="AD94" i="19"/>
  <c r="Z94" i="19" s="1"/>
  <c r="AD95" i="19"/>
  <c r="Z95" i="19" s="1"/>
  <c r="O166" i="19"/>
  <c r="L166" i="19"/>
  <c r="D167" i="19" s="1"/>
  <c r="T162" i="19" s="1"/>
  <c r="O162" i="19"/>
  <c r="C155" i="19"/>
  <c r="AD92" i="19"/>
  <c r="Z92" i="19" s="1"/>
  <c r="C154" i="19"/>
  <c r="C153" i="19"/>
  <c r="C152" i="19"/>
  <c r="C151" i="19"/>
  <c r="AD96" i="19"/>
  <c r="Z96" i="19" s="1"/>
  <c r="AD91" i="19"/>
  <c r="Z91" i="19" s="1"/>
  <c r="C150" i="19"/>
  <c r="AD93" i="19"/>
  <c r="Z93" i="19" s="1"/>
  <c r="C149" i="19"/>
  <c r="C133" i="19"/>
  <c r="C132" i="19"/>
  <c r="C131" i="19"/>
  <c r="C130" i="19"/>
  <c r="L162" i="19"/>
  <c r="C129" i="19"/>
  <c r="C128" i="19"/>
  <c r="AD105" i="19"/>
  <c r="AD104" i="19"/>
  <c r="Z104" i="19" s="1"/>
  <c r="AD103" i="19"/>
  <c r="Z103" i="19" s="1"/>
  <c r="AD100" i="19"/>
  <c r="Z100" i="19" s="1"/>
  <c r="AD99" i="19"/>
  <c r="Z99" i="19" s="1"/>
  <c r="AD98" i="19"/>
  <c r="Z98" i="19" s="1"/>
  <c r="AD90" i="19"/>
  <c r="Z90" i="19" s="1"/>
  <c r="B30" i="19"/>
  <c r="R14" i="19"/>
  <c r="AD97" i="19"/>
  <c r="Z97" i="19" s="1"/>
  <c r="C156" i="19"/>
  <c r="E156" i="19" s="1"/>
  <c r="S161" i="18"/>
  <c r="E161" i="18"/>
  <c r="S160" i="18"/>
  <c r="E160" i="18"/>
  <c r="S159" i="18"/>
  <c r="E159" i="18"/>
  <c r="E158" i="18"/>
  <c r="S158" i="18"/>
  <c r="S157" i="18"/>
  <c r="E157" i="18"/>
  <c r="S156" i="18"/>
  <c r="E156" i="18"/>
  <c r="AB91" i="18"/>
  <c r="W91" i="18"/>
  <c r="AB90" i="18"/>
  <c r="W90" i="18"/>
  <c r="AB89" i="18"/>
  <c r="W89" i="18"/>
  <c r="W88" i="18"/>
  <c r="AB88" i="18"/>
  <c r="R87" i="18"/>
  <c r="C128" i="18"/>
  <c r="E87" i="18"/>
  <c r="U87" i="18" s="1"/>
  <c r="U86" i="18"/>
  <c r="C127" i="18"/>
  <c r="R86" i="18"/>
  <c r="R52" i="18"/>
  <c r="AA31" i="18"/>
  <c r="AA30" i="18"/>
  <c r="B33" i="18"/>
  <c r="R33" i="18" s="1"/>
  <c r="B24" i="18"/>
  <c r="R24" i="18" s="1"/>
  <c r="R21" i="18"/>
  <c r="C130" i="18"/>
  <c r="C131" i="18"/>
  <c r="C132" i="18"/>
  <c r="R15" i="18"/>
  <c r="C129" i="18"/>
  <c r="Y134" i="17"/>
  <c r="AB134" i="17" s="1"/>
  <c r="Y132" i="17"/>
  <c r="AB132" i="17" s="1"/>
  <c r="Y131" i="17"/>
  <c r="AB131" i="17" s="1"/>
  <c r="Y130" i="17"/>
  <c r="AB130" i="17" s="1"/>
  <c r="U90" i="17"/>
  <c r="H90" i="17"/>
  <c r="E91" i="17"/>
  <c r="G84" i="17"/>
  <c r="G83" i="17"/>
  <c r="G77" i="17"/>
  <c r="G71" i="17"/>
  <c r="G78" i="17"/>
  <c r="G75" i="17"/>
  <c r="G82" i="17"/>
  <c r="G80" i="17"/>
  <c r="G79" i="17"/>
  <c r="G73" i="17"/>
  <c r="G81" i="17"/>
  <c r="B61" i="17"/>
  <c r="G72" i="17"/>
  <c r="G74" i="17"/>
  <c r="G76" i="17"/>
  <c r="R48" i="17"/>
  <c r="AA36" i="17"/>
  <c r="AA35" i="17"/>
  <c r="K38" i="17"/>
  <c r="D151" i="17"/>
  <c r="D153" i="17"/>
  <c r="D154" i="17"/>
  <c r="D155" i="17"/>
  <c r="D148" i="17"/>
  <c r="D149" i="17"/>
  <c r="D152" i="17"/>
  <c r="D150" i="17"/>
  <c r="B38" i="17"/>
  <c r="J133" i="17"/>
  <c r="Z132" i="17"/>
  <c r="J132" i="17"/>
  <c r="Z131" i="17"/>
  <c r="J131" i="17"/>
  <c r="Z130" i="17"/>
  <c r="J130" i="17"/>
  <c r="AA127" i="17"/>
  <c r="R35" i="17"/>
  <c r="Z134" i="17"/>
  <c r="K127" i="17"/>
  <c r="AD93" i="17"/>
  <c r="C152" i="17"/>
  <c r="AD98" i="17"/>
  <c r="Z98" i="17" s="1"/>
  <c r="C127" i="17"/>
  <c r="C155" i="17"/>
  <c r="E155" i="17" s="1"/>
  <c r="AD90" i="17"/>
  <c r="C153" i="17"/>
  <c r="R14" i="17"/>
  <c r="AD97" i="17"/>
  <c r="Z97" i="17" s="1"/>
  <c r="B30" i="17"/>
  <c r="AD91" i="17"/>
  <c r="C154" i="17"/>
  <c r="AD92" i="17"/>
  <c r="AD95" i="17"/>
  <c r="AD96" i="17"/>
  <c r="AD100" i="17"/>
  <c r="Z100" i="17" s="1"/>
  <c r="AD104" i="17"/>
  <c r="Z104" i="17" s="1"/>
  <c r="AD105" i="17"/>
  <c r="C129" i="17"/>
  <c r="C130" i="17"/>
  <c r="C131" i="17"/>
  <c r="C132" i="17"/>
  <c r="C148" i="17"/>
  <c r="C149" i="17"/>
  <c r="C150" i="17"/>
  <c r="C151" i="17"/>
  <c r="L161" i="17"/>
  <c r="O161" i="17"/>
  <c r="L165" i="17"/>
  <c r="D166" i="17" s="1"/>
  <c r="T161" i="17" s="1"/>
  <c r="O165" i="17"/>
  <c r="AD103" i="17"/>
  <c r="Z103" i="17" s="1"/>
  <c r="AD99" i="17"/>
  <c r="Z99" i="17" s="1"/>
  <c r="AD94" i="17"/>
  <c r="C128" i="17"/>
  <c r="J38" i="16"/>
  <c r="D85" i="16"/>
  <c r="J37" i="16"/>
  <c r="D84" i="16"/>
  <c r="J36" i="16"/>
  <c r="D83" i="16"/>
  <c r="D82" i="16"/>
  <c r="J35" i="16"/>
  <c r="D81" i="16"/>
  <c r="J34" i="16"/>
  <c r="J33" i="16"/>
  <c r="J32" i="16"/>
  <c r="J31" i="16"/>
  <c r="J30" i="16"/>
  <c r="J22" i="16"/>
  <c r="E30" i="16"/>
  <c r="J21" i="16"/>
  <c r="J14" i="16"/>
  <c r="G30" i="16"/>
  <c r="J37" i="15"/>
  <c r="D84" i="15"/>
  <c r="L84" i="15" s="1"/>
  <c r="J36" i="15"/>
  <c r="D83" i="15"/>
  <c r="L83" i="15" s="1"/>
  <c r="J35" i="15"/>
  <c r="D82" i="15"/>
  <c r="L82" i="15" s="1"/>
  <c r="J34" i="15"/>
  <c r="D81" i="15"/>
  <c r="L81" i="15" s="1"/>
  <c r="D80" i="15"/>
  <c r="L80" i="15" s="1"/>
  <c r="J33" i="15"/>
  <c r="J32" i="15"/>
  <c r="J31" i="15"/>
  <c r="J30" i="15"/>
  <c r="J29" i="15"/>
  <c r="J22" i="15"/>
  <c r="E29" i="15"/>
  <c r="J21" i="15"/>
  <c r="J17" i="15"/>
  <c r="B17" i="16"/>
  <c r="J17" i="16" s="1"/>
  <c r="G29" i="15"/>
  <c r="J14" i="15"/>
  <c r="D98" i="19"/>
  <c r="K38" i="14"/>
  <c r="D81" i="14"/>
  <c r="T126" i="14"/>
  <c r="J38" i="14"/>
  <c r="D97" i="19"/>
  <c r="K37" i="14"/>
  <c r="T125" i="14"/>
  <c r="D80" i="14"/>
  <c r="J37" i="14"/>
  <c r="D96" i="19"/>
  <c r="K36" i="14"/>
  <c r="T124" i="14"/>
  <c r="J36" i="14"/>
  <c r="D79" i="14"/>
  <c r="K35" i="14"/>
  <c r="D95" i="19"/>
  <c r="D78" i="14"/>
  <c r="T123" i="14"/>
  <c r="J35" i="14"/>
  <c r="D94" i="19"/>
  <c r="K34" i="14"/>
  <c r="D77" i="14"/>
  <c r="J34" i="14"/>
  <c r="T122" i="14"/>
  <c r="K33" i="14"/>
  <c r="D93" i="19"/>
  <c r="J33" i="14"/>
  <c r="T121" i="14"/>
  <c r="D92" i="19"/>
  <c r="K32" i="14"/>
  <c r="J32" i="14"/>
  <c r="T120" i="14"/>
  <c r="K31" i="14"/>
  <c r="D91" i="19"/>
  <c r="J31" i="14"/>
  <c r="T119" i="14"/>
  <c r="K30" i="14"/>
  <c r="D90" i="19"/>
  <c r="J30" i="14"/>
  <c r="T118" i="14"/>
  <c r="B87" i="14"/>
  <c r="J85" i="14" s="1"/>
  <c r="E30" i="14"/>
  <c r="J23" i="14"/>
  <c r="Q32" i="14"/>
  <c r="Q35" i="14"/>
  <c r="Q31" i="14"/>
  <c r="Q30" i="14"/>
  <c r="Q29" i="14"/>
  <c r="J22" i="14"/>
  <c r="Q39" i="14"/>
  <c r="Q38" i="14"/>
  <c r="Q37" i="14"/>
  <c r="Q36" i="14"/>
  <c r="Q34" i="14"/>
  <c r="Q33" i="14"/>
  <c r="B104" i="14"/>
  <c r="J15" i="14"/>
  <c r="J14" i="14"/>
  <c r="G30" i="14"/>
  <c r="L130" i="13"/>
  <c r="L129" i="13"/>
  <c r="L128" i="13"/>
  <c r="L127" i="13"/>
  <c r="L126" i="13"/>
  <c r="L125" i="13"/>
  <c r="L124" i="13"/>
  <c r="L123" i="13"/>
  <c r="J36" i="13"/>
  <c r="D79" i="13"/>
  <c r="D78" i="13"/>
  <c r="J35" i="13"/>
  <c r="J34" i="13"/>
  <c r="D77" i="13"/>
  <c r="J33" i="13"/>
  <c r="D76" i="13"/>
  <c r="J32" i="13"/>
  <c r="J31" i="13"/>
  <c r="J30" i="13"/>
  <c r="J29" i="13"/>
  <c r="J21" i="13"/>
  <c r="V134" i="13"/>
  <c r="J14" i="13"/>
  <c r="B55" i="12"/>
  <c r="B96" i="12"/>
  <c r="B92" i="12"/>
  <c r="W50" i="11"/>
  <c r="N23" i="11"/>
  <c r="N20" i="11"/>
  <c r="B55" i="11"/>
  <c r="N19" i="11"/>
  <c r="H128" i="9"/>
  <c r="J128" i="9" s="1"/>
  <c r="B196" i="9"/>
  <c r="B94" i="9"/>
  <c r="F93" i="9"/>
  <c r="J55" i="9"/>
  <c r="H41" i="9"/>
  <c r="K41" i="9"/>
  <c r="L41" i="9" s="1"/>
  <c r="M41" i="9" s="1"/>
  <c r="F35" i="9"/>
  <c r="H35" i="9" s="1"/>
  <c r="J35" i="9" s="1"/>
  <c r="L35" i="9"/>
  <c r="F34" i="9"/>
  <c r="H34" i="9" s="1"/>
  <c r="J34" i="9" s="1"/>
  <c r="L34" i="9"/>
  <c r="L33" i="9"/>
  <c r="F33" i="9"/>
  <c r="H33" i="9" s="1"/>
  <c r="J33" i="9" s="1"/>
  <c r="F32" i="9"/>
  <c r="H32" i="9" s="1"/>
  <c r="J32" i="9" s="1"/>
  <c r="L32" i="9"/>
  <c r="F31" i="9"/>
  <c r="H31" i="9" s="1"/>
  <c r="J31" i="9" s="1"/>
  <c r="L31" i="9"/>
  <c r="F30" i="9"/>
  <c r="H30" i="9" s="1"/>
  <c r="J30" i="9" s="1"/>
  <c r="L30" i="9"/>
  <c r="L29" i="9"/>
  <c r="F29" i="9"/>
  <c r="H29" i="9" s="1"/>
  <c r="J29" i="9" s="1"/>
  <c r="F28" i="9"/>
  <c r="H28" i="9" s="1"/>
  <c r="J28" i="9" s="1"/>
  <c r="L28" i="9"/>
  <c r="F27" i="9"/>
  <c r="H27" i="9" s="1"/>
  <c r="J27" i="9" s="1"/>
  <c r="L27" i="9"/>
  <c r="L26" i="9"/>
  <c r="F26" i="9"/>
  <c r="H26" i="9" s="1"/>
  <c r="J26" i="9" s="1"/>
  <c r="L25" i="9"/>
  <c r="F25" i="9"/>
  <c r="F16" i="9"/>
  <c r="H16" i="9" s="1"/>
  <c r="J16" i="9" s="1"/>
  <c r="K16" i="9"/>
  <c r="M16" i="9" s="1"/>
  <c r="O16" i="9" s="1"/>
  <c r="Q16" i="9" s="1"/>
  <c r="S16" i="9" s="1"/>
  <c r="H14" i="9"/>
  <c r="K14" i="9"/>
  <c r="L14" i="9" s="1"/>
  <c r="M14" i="9" s="1"/>
  <c r="B183" i="9"/>
  <c r="B48" i="19"/>
  <c r="B43" i="18"/>
  <c r="B34" i="11"/>
  <c r="N34" i="11" s="1"/>
  <c r="E38" i="9"/>
  <c r="B30" i="18"/>
  <c r="E37" i="9"/>
  <c r="B34" i="12"/>
  <c r="B35" i="19"/>
  <c r="B44" i="12"/>
  <c r="H9" i="12" s="1"/>
  <c r="H29" i="12" s="1"/>
  <c r="B44" i="11"/>
  <c r="B24" i="11"/>
  <c r="F58" i="7"/>
  <c r="D60" i="7"/>
  <c r="D58" i="7"/>
  <c r="B24" i="12"/>
  <c r="F51" i="7"/>
  <c r="B22" i="13"/>
  <c r="B21" i="11"/>
  <c r="B151" i="31"/>
  <c r="B35" i="32"/>
  <c r="B37" i="32"/>
  <c r="D138" i="31"/>
  <c r="B21" i="12"/>
  <c r="F57" i="7"/>
  <c r="B35" i="31"/>
  <c r="D57" i="7"/>
  <c r="B25" i="11" s="1"/>
  <c r="N25" i="11" s="1"/>
  <c r="B37" i="31"/>
  <c r="O46" i="7"/>
  <c r="D41" i="7"/>
  <c r="S34" i="7"/>
  <c r="D36" i="7"/>
  <c r="O36" i="7"/>
  <c r="S38" i="7"/>
  <c r="O39" i="7"/>
  <c r="B12" i="27"/>
  <c r="B43" i="19"/>
  <c r="R43" i="19" s="1"/>
  <c r="O43" i="7"/>
  <c r="I122" i="7" s="1"/>
  <c r="B29" i="11"/>
  <c r="D127" i="7"/>
  <c r="B38" i="18"/>
  <c r="R38" i="18" s="1"/>
  <c r="B19" i="30"/>
  <c r="B15" i="28"/>
  <c r="B29" i="12"/>
  <c r="B48" i="12" s="1"/>
  <c r="K85" i="12" s="1"/>
  <c r="B27" i="11"/>
  <c r="B155" i="9"/>
  <c r="F155" i="9" s="1"/>
  <c r="H155" i="9" s="1"/>
  <c r="J155" i="9" s="1"/>
  <c r="D106" i="9"/>
  <c r="D50" i="8"/>
  <c r="D49" i="8"/>
  <c r="D48" i="8"/>
  <c r="D47" i="8"/>
  <c r="D46" i="8"/>
  <c r="D45" i="8"/>
  <c r="D44" i="8"/>
  <c r="C153" i="7"/>
  <c r="J106" i="7"/>
  <c r="AG100" i="7" s="1"/>
  <c r="AE100" i="7" s="1"/>
  <c r="J104" i="7"/>
  <c r="J105" i="7" s="1"/>
  <c r="AG99" i="7" s="1"/>
  <c r="AE99" i="7" s="1"/>
  <c r="D103" i="7"/>
  <c r="AC100" i="7"/>
  <c r="AA100" i="7" s="1"/>
  <c r="AC99" i="7"/>
  <c r="D96" i="7"/>
  <c r="AC39" i="7" s="1"/>
  <c r="AG38" i="7"/>
  <c r="B13" i="27"/>
  <c r="J13" i="27" s="1"/>
  <c r="B14" i="28"/>
  <c r="N118" i="9"/>
  <c r="K118" i="9"/>
  <c r="L118" i="9" s="1"/>
  <c r="M118" i="9" s="1"/>
  <c r="D114" i="9"/>
  <c r="D113" i="9"/>
  <c r="D112" i="9"/>
  <c r="B13" i="26"/>
  <c r="B14" i="29"/>
  <c r="K105" i="29"/>
  <c r="K109" i="29" s="1"/>
  <c r="B17" i="30"/>
  <c r="V21" i="30"/>
  <c r="R41" i="30" s="1"/>
  <c r="D111" i="9"/>
  <c r="D110" i="9"/>
  <c r="D109" i="9"/>
  <c r="D105" i="9"/>
  <c r="D104" i="9"/>
  <c r="B101" i="9"/>
  <c r="D108" i="9"/>
  <c r="D98" i="9"/>
  <c r="F98" i="9" s="1"/>
  <c r="H98" i="9" s="1"/>
  <c r="J98" i="9" s="1"/>
  <c r="D107" i="9"/>
  <c r="B39" i="12"/>
  <c r="B27" i="12"/>
  <c r="B39" i="11"/>
  <c r="N39" i="11" s="1"/>
  <c r="D144" i="7"/>
  <c r="B30" i="12"/>
  <c r="B110" i="30"/>
  <c r="D142" i="7"/>
  <c r="B143" i="9"/>
  <c r="F143" i="9" s="1"/>
  <c r="H143" i="9" s="1"/>
  <c r="B22" i="30"/>
  <c r="J22" i="30" s="1"/>
  <c r="F31" i="7"/>
  <c r="B25" i="34" s="1"/>
  <c r="J25" i="34" s="1"/>
  <c r="B30" i="11"/>
  <c r="N30" i="11" s="1"/>
  <c r="D129" i="7"/>
  <c r="B21" i="30"/>
  <c r="D135" i="7"/>
  <c r="D136" i="7" s="1"/>
  <c r="B28" i="12"/>
  <c r="B109" i="30"/>
  <c r="B138" i="9"/>
  <c r="F138" i="9" s="1"/>
  <c r="F30" i="7"/>
  <c r="K34" i="7"/>
  <c r="B28" i="11"/>
  <c r="J27" i="7"/>
  <c r="J28" i="7" s="1"/>
  <c r="J29" i="7" s="1"/>
  <c r="H38" i="7"/>
  <c r="B24" i="34" s="1"/>
  <c r="J24" i="34" s="1"/>
  <c r="B66" i="12"/>
  <c r="B65" i="11"/>
  <c r="N65" i="11" s="1"/>
  <c r="B19" i="18"/>
  <c r="R19" i="18" s="1"/>
  <c r="B18" i="19"/>
  <c r="R18" i="19" s="1"/>
  <c r="B22" i="11"/>
  <c r="N22" i="11" s="1"/>
  <c r="B22" i="12"/>
  <c r="B12" i="11"/>
  <c r="F49" i="7"/>
  <c r="B13" i="13"/>
  <c r="J8" i="7"/>
  <c r="J9" i="7" s="1"/>
  <c r="J10" i="7" s="1"/>
  <c r="H19" i="7"/>
  <c r="B120" i="24"/>
  <c r="B16" i="24"/>
  <c r="B17" i="13"/>
  <c r="J17" i="13" s="1"/>
  <c r="B17" i="19"/>
  <c r="B18" i="18"/>
  <c r="B17" i="17"/>
  <c r="R17" i="17" s="1"/>
  <c r="B102" i="25"/>
  <c r="B17" i="27"/>
  <c r="B17" i="29"/>
  <c r="K17" i="29" s="1"/>
  <c r="K25" i="4"/>
  <c r="D26" i="27"/>
  <c r="B22" i="28"/>
  <c r="T22" i="28" s="1"/>
  <c r="H25" i="4"/>
  <c r="B15" i="24"/>
  <c r="K15" i="24" s="1"/>
  <c r="A40" i="2"/>
  <c r="A38" i="2"/>
  <c r="A33" i="2"/>
  <c r="A31" i="2"/>
  <c r="A32" i="2"/>
  <c r="A10" i="2"/>
  <c r="A39" i="2"/>
  <c r="A11" i="2"/>
  <c r="A42" i="2"/>
  <c r="A44" i="2"/>
  <c r="A12" i="2"/>
  <c r="A13" i="2"/>
  <c r="A30" i="2"/>
  <c r="A23" i="2"/>
  <c r="A14" i="2"/>
  <c r="A18" i="2"/>
  <c r="A19" i="2"/>
  <c r="A20" i="2"/>
  <c r="A25" i="2"/>
  <c r="A37" i="2"/>
  <c r="A21" i="2"/>
  <c r="A43" i="2"/>
  <c r="A22" i="2"/>
  <c r="A29" i="2"/>
  <c r="A41" i="2"/>
  <c r="G33" i="37"/>
  <c r="G31" i="37"/>
  <c r="G32" i="37"/>
  <c r="F8" i="9"/>
  <c r="H8" i="9" s="1"/>
  <c r="J8" i="9" s="1"/>
  <c r="F7" i="9"/>
  <c r="G30" i="37"/>
  <c r="K68" i="38" l="1"/>
  <c r="N81" i="38" s="1"/>
  <c r="E81" i="38"/>
  <c r="K27" i="38"/>
  <c r="Y66" i="35"/>
  <c r="B16" i="36"/>
  <c r="K16" i="36" s="1"/>
  <c r="Y38" i="35"/>
  <c r="AE22" i="35"/>
  <c r="AE23" i="35" s="1"/>
  <c r="Y34" i="35"/>
  <c r="B28" i="33"/>
  <c r="J28" i="33" s="1"/>
  <c r="B28" i="31"/>
  <c r="J28" i="31" s="1"/>
  <c r="B28" i="32"/>
  <c r="J28" i="32" s="1"/>
  <c r="D139" i="34"/>
  <c r="L138" i="34"/>
  <c r="J61" i="34"/>
  <c r="B60" i="34"/>
  <c r="J106" i="34"/>
  <c r="B104" i="34"/>
  <c r="J104" i="34" s="1"/>
  <c r="J174" i="33"/>
  <c r="B177" i="33"/>
  <c r="V159" i="33"/>
  <c r="D140" i="33"/>
  <c r="A139" i="33"/>
  <c r="I139" i="33" s="1"/>
  <c r="L139" i="33"/>
  <c r="B62" i="33"/>
  <c r="J63" i="33"/>
  <c r="B107" i="33"/>
  <c r="J108" i="33"/>
  <c r="S109" i="33"/>
  <c r="B59" i="34"/>
  <c r="J59" i="34" s="1"/>
  <c r="J13" i="34"/>
  <c r="J12" i="34"/>
  <c r="B55" i="34"/>
  <c r="A138" i="34" s="1"/>
  <c r="J56" i="33"/>
  <c r="J173" i="32"/>
  <c r="B176" i="32"/>
  <c r="V158" i="32"/>
  <c r="L139" i="32"/>
  <c r="D140" i="32"/>
  <c r="A139" i="32"/>
  <c r="I139" i="32" s="1"/>
  <c r="J173" i="31"/>
  <c r="B176" i="31"/>
  <c r="B170" i="31"/>
  <c r="J170" i="31" s="1"/>
  <c r="V158" i="31"/>
  <c r="V152" i="31"/>
  <c r="J149" i="31"/>
  <c r="B150" i="31"/>
  <c r="J150" i="31" s="1"/>
  <c r="J71" i="31"/>
  <c r="B75" i="31"/>
  <c r="J75" i="31" s="1"/>
  <c r="J108" i="31"/>
  <c r="S109" i="31"/>
  <c r="B107" i="31"/>
  <c r="J123" i="30"/>
  <c r="B127" i="30"/>
  <c r="N32" i="30"/>
  <c r="B140" i="25"/>
  <c r="B141" i="25" s="1"/>
  <c r="B142" i="25" s="1"/>
  <c r="N35" i="30"/>
  <c r="K85" i="29"/>
  <c r="K86" i="29" s="1"/>
  <c r="B86" i="29"/>
  <c r="K48" i="29"/>
  <c r="B87" i="29"/>
  <c r="AD24" i="28"/>
  <c r="T81" i="28"/>
  <c r="S81" i="28" s="1"/>
  <c r="T29" i="28"/>
  <c r="B82" i="28"/>
  <c r="A82" i="28" s="1"/>
  <c r="C99" i="28"/>
  <c r="G100" i="28"/>
  <c r="U100" i="28" s="1"/>
  <c r="L20" i="28"/>
  <c r="T28" i="28"/>
  <c r="AH31" i="28" s="1"/>
  <c r="N32" i="28"/>
  <c r="C98" i="28"/>
  <c r="G99" i="28" s="1"/>
  <c r="U99" i="28" s="1"/>
  <c r="C100" i="28"/>
  <c r="G102" i="28"/>
  <c r="U102" i="28" s="1"/>
  <c r="T36" i="28"/>
  <c r="C71" i="27"/>
  <c r="K71" i="27" s="1"/>
  <c r="F71" i="27"/>
  <c r="N71" i="27" s="1"/>
  <c r="J71" i="27"/>
  <c r="C64" i="27"/>
  <c r="K64" i="27" s="1"/>
  <c r="D64" i="27"/>
  <c r="L64" i="27" s="1"/>
  <c r="E64" i="27"/>
  <c r="M64" i="27" s="1"/>
  <c r="F64" i="27"/>
  <c r="N64" i="27" s="1"/>
  <c r="J64" i="27"/>
  <c r="E28" i="26"/>
  <c r="E29" i="26" s="1"/>
  <c r="E30" i="26" s="1"/>
  <c r="E31" i="26" s="1"/>
  <c r="E32" i="26" s="1"/>
  <c r="E33" i="26" s="1"/>
  <c r="E34" i="26" s="1"/>
  <c r="E35" i="26" s="1"/>
  <c r="E36" i="26" s="1"/>
  <c r="E37" i="26" s="1"/>
  <c r="M28" i="26"/>
  <c r="N28" i="26" s="1"/>
  <c r="N29" i="26" s="1"/>
  <c r="N30" i="26" s="1"/>
  <c r="N31" i="26" s="1"/>
  <c r="N32" i="26" s="1"/>
  <c r="N33" i="26" s="1"/>
  <c r="N34" i="26" s="1"/>
  <c r="N35" i="26" s="1"/>
  <c r="N36" i="26" s="1"/>
  <c r="N37" i="26" s="1"/>
  <c r="C38" i="26"/>
  <c r="L82" i="25"/>
  <c r="N143" i="25"/>
  <c r="P181" i="25"/>
  <c r="L81" i="25"/>
  <c r="N142" i="25"/>
  <c r="P180" i="25"/>
  <c r="L80" i="25"/>
  <c r="N141" i="25"/>
  <c r="P179" i="25"/>
  <c r="N140" i="25"/>
  <c r="P178" i="25"/>
  <c r="L79" i="25"/>
  <c r="L78" i="25"/>
  <c r="N139" i="25"/>
  <c r="P177" i="25"/>
  <c r="N138" i="25"/>
  <c r="P176" i="25"/>
  <c r="L77" i="25"/>
  <c r="J112" i="25"/>
  <c r="B113" i="25"/>
  <c r="K126" i="25"/>
  <c r="K127" i="25"/>
  <c r="K128" i="25"/>
  <c r="K129" i="25"/>
  <c r="K130" i="25"/>
  <c r="K131" i="25"/>
  <c r="K132" i="25"/>
  <c r="K123" i="25"/>
  <c r="K124" i="25"/>
  <c r="K125" i="25"/>
  <c r="N77" i="24"/>
  <c r="E139" i="24"/>
  <c r="N139" i="24" s="1"/>
  <c r="K23" i="24"/>
  <c r="K62" i="24"/>
  <c r="K164" i="24"/>
  <c r="B166" i="24"/>
  <c r="K166" i="24" s="1"/>
  <c r="T31" i="23"/>
  <c r="B83" i="23"/>
  <c r="A83" i="23" s="1"/>
  <c r="T30" i="23"/>
  <c r="T78" i="23" s="1"/>
  <c r="S78" i="23" s="1"/>
  <c r="N31" i="23"/>
  <c r="AF31" i="23" s="1"/>
  <c r="AG35" i="23"/>
  <c r="T39" i="23"/>
  <c r="AD36" i="23" s="1"/>
  <c r="AC25" i="22"/>
  <c r="T31" i="22"/>
  <c r="B83" i="22"/>
  <c r="A83" i="22" s="1"/>
  <c r="E166" i="17"/>
  <c r="E167" i="19"/>
  <c r="E167" i="20"/>
  <c r="T30" i="22"/>
  <c r="T78" i="22" s="1"/>
  <c r="S78" i="22" s="1"/>
  <c r="N31" i="22"/>
  <c r="AG32" i="22" s="1"/>
  <c r="C98" i="22"/>
  <c r="G99" i="22" s="1"/>
  <c r="U99" i="22" s="1"/>
  <c r="C100" i="22"/>
  <c r="G102" i="22"/>
  <c r="U102" i="22" s="1"/>
  <c r="U104" i="22"/>
  <c r="C102" i="22"/>
  <c r="T38" i="22"/>
  <c r="AH36" i="22"/>
  <c r="T39" i="22"/>
  <c r="B40" i="18"/>
  <c r="B45" i="17"/>
  <c r="B45" i="19"/>
  <c r="B45" i="20"/>
  <c r="K32" i="22"/>
  <c r="C92" i="21"/>
  <c r="K89" i="21" s="1"/>
  <c r="D92" i="21"/>
  <c r="E92" i="21"/>
  <c r="F92" i="21"/>
  <c r="C98" i="21"/>
  <c r="K96" i="21" s="1"/>
  <c r="D98" i="21"/>
  <c r="E98" i="21"/>
  <c r="J89" i="21"/>
  <c r="F98" i="21"/>
  <c r="J96" i="21"/>
  <c r="N96" i="21" s="1"/>
  <c r="N24" i="21"/>
  <c r="C51" i="21"/>
  <c r="D51" i="21"/>
  <c r="L51" i="21" s="1"/>
  <c r="J51" i="21"/>
  <c r="C32" i="21"/>
  <c r="AC135" i="20"/>
  <c r="AC133" i="20"/>
  <c r="AC132" i="20"/>
  <c r="AC131" i="20"/>
  <c r="U91" i="20"/>
  <c r="E92" i="20"/>
  <c r="T81" i="20"/>
  <c r="T80" i="20"/>
  <c r="T79" i="20"/>
  <c r="T78" i="20"/>
  <c r="T77" i="20"/>
  <c r="T76" i="20"/>
  <c r="T75" i="20"/>
  <c r="T74" i="20"/>
  <c r="T73" i="20"/>
  <c r="T71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R59" i="20"/>
  <c r="T72" i="20"/>
  <c r="T83" i="20"/>
  <c r="T82" i="20"/>
  <c r="T147" i="20"/>
  <c r="AC139" i="20" s="1"/>
  <c r="T146" i="20"/>
  <c r="AC138" i="20" s="1"/>
  <c r="M141" i="20"/>
  <c r="T149" i="20"/>
  <c r="AC141" i="20" s="1"/>
  <c r="T145" i="20"/>
  <c r="AC137" i="20" s="1"/>
  <c r="M140" i="20"/>
  <c r="T148" i="20"/>
  <c r="AC140" i="20" s="1"/>
  <c r="T151" i="20"/>
  <c r="AC143" i="20" s="1"/>
  <c r="M142" i="20"/>
  <c r="T150" i="20"/>
  <c r="AC142" i="20" s="1"/>
  <c r="AD135" i="20"/>
  <c r="AA143" i="20"/>
  <c r="D130" i="20"/>
  <c r="S129" i="20"/>
  <c r="D129" i="20"/>
  <c r="S128" i="20"/>
  <c r="D128" i="20"/>
  <c r="S127" i="20"/>
  <c r="R30" i="20"/>
  <c r="F71" i="20"/>
  <c r="I71" i="20" s="1"/>
  <c r="R23" i="20"/>
  <c r="B23" i="20" s="1"/>
  <c r="L178" i="20"/>
  <c r="D132" i="20"/>
  <c r="S131" i="20"/>
  <c r="D133" i="20"/>
  <c r="S132" i="20"/>
  <c r="E149" i="20"/>
  <c r="S145" i="20"/>
  <c r="E151" i="20"/>
  <c r="S147" i="20"/>
  <c r="E152" i="20"/>
  <c r="S148" i="20"/>
  <c r="E153" i="20"/>
  <c r="S149" i="20"/>
  <c r="E154" i="20"/>
  <c r="S150" i="20"/>
  <c r="E155" i="20"/>
  <c r="S151" i="20"/>
  <c r="D131" i="20"/>
  <c r="S130" i="20"/>
  <c r="D168" i="20"/>
  <c r="T163" i="20" s="1"/>
  <c r="S168" i="20" s="1"/>
  <c r="O169" i="20"/>
  <c r="E150" i="20"/>
  <c r="S146" i="20"/>
  <c r="M140" i="19"/>
  <c r="T148" i="19"/>
  <c r="AC140" i="19" s="1"/>
  <c r="M141" i="19"/>
  <c r="T149" i="19"/>
  <c r="AC141" i="19" s="1"/>
  <c r="T146" i="19"/>
  <c r="T147" i="19"/>
  <c r="T145" i="19"/>
  <c r="M142" i="19"/>
  <c r="T150" i="19"/>
  <c r="AC142" i="19" s="1"/>
  <c r="T151" i="19"/>
  <c r="D168" i="19"/>
  <c r="T163" i="19" s="1"/>
  <c r="S168" i="19" s="1"/>
  <c r="O169" i="19"/>
  <c r="E155" i="19"/>
  <c r="S151" i="19"/>
  <c r="E154" i="19"/>
  <c r="S150" i="19"/>
  <c r="E153" i="19"/>
  <c r="S149" i="19"/>
  <c r="E152" i="19"/>
  <c r="S148" i="19"/>
  <c r="E151" i="19"/>
  <c r="S147" i="19"/>
  <c r="E150" i="19"/>
  <c r="S146" i="19"/>
  <c r="E149" i="19"/>
  <c r="S145" i="19"/>
  <c r="D133" i="19"/>
  <c r="S132" i="19"/>
  <c r="D132" i="19"/>
  <c r="S131" i="19"/>
  <c r="D131" i="19"/>
  <c r="S130" i="19"/>
  <c r="D130" i="19"/>
  <c r="S129" i="19"/>
  <c r="D129" i="19"/>
  <c r="S128" i="19"/>
  <c r="D128" i="19"/>
  <c r="S127" i="19"/>
  <c r="F71" i="19"/>
  <c r="R30" i="19"/>
  <c r="R23" i="19"/>
  <c r="B23" i="19" s="1"/>
  <c r="L178" i="19"/>
  <c r="U161" i="18"/>
  <c r="U160" i="18"/>
  <c r="U159" i="18"/>
  <c r="U158" i="18"/>
  <c r="U157" i="18"/>
  <c r="U156" i="18"/>
  <c r="D128" i="18"/>
  <c r="S128" i="18"/>
  <c r="D127" i="18"/>
  <c r="S127" i="18"/>
  <c r="D130" i="18"/>
  <c r="S130" i="18"/>
  <c r="D131" i="18"/>
  <c r="S131" i="18"/>
  <c r="D132" i="18"/>
  <c r="S132" i="18"/>
  <c r="D129" i="18"/>
  <c r="S129" i="18"/>
  <c r="AC134" i="17"/>
  <c r="AC132" i="17"/>
  <c r="AC131" i="17"/>
  <c r="AC130" i="17"/>
  <c r="U91" i="17"/>
  <c r="H91" i="17"/>
  <c r="E92" i="17"/>
  <c r="T83" i="17"/>
  <c r="T77" i="17"/>
  <c r="T71" i="17"/>
  <c r="T78" i="17"/>
  <c r="T75" i="17"/>
  <c r="T82" i="17"/>
  <c r="T80" i="17"/>
  <c r="T79" i="17"/>
  <c r="T73" i="17"/>
  <c r="T81" i="17"/>
  <c r="H71" i="17"/>
  <c r="H72" i="17"/>
  <c r="U72" i="17" s="1"/>
  <c r="H75" i="17"/>
  <c r="U75" i="17" s="1"/>
  <c r="H77" i="17"/>
  <c r="U77" i="17" s="1"/>
  <c r="H73" i="17"/>
  <c r="U73" i="17" s="1"/>
  <c r="H74" i="17"/>
  <c r="U74" i="17" s="1"/>
  <c r="H76" i="17"/>
  <c r="U76" i="17" s="1"/>
  <c r="H78" i="17"/>
  <c r="U78" i="17" s="1"/>
  <c r="H79" i="17"/>
  <c r="U79" i="17" s="1"/>
  <c r="H80" i="17"/>
  <c r="U80" i="17" s="1"/>
  <c r="H81" i="17"/>
  <c r="U81" i="17" s="1"/>
  <c r="H82" i="17"/>
  <c r="U82" i="17" s="1"/>
  <c r="H83" i="17"/>
  <c r="U83" i="17" s="1"/>
  <c r="H84" i="17"/>
  <c r="T72" i="17"/>
  <c r="T74" i="17"/>
  <c r="T76" i="17"/>
  <c r="R38" i="17"/>
  <c r="AA38" i="17"/>
  <c r="M139" i="17"/>
  <c r="T147" i="17"/>
  <c r="AC139" i="17" s="1"/>
  <c r="M141" i="17"/>
  <c r="T149" i="17"/>
  <c r="AC141" i="17" s="1"/>
  <c r="T150" i="17"/>
  <c r="T144" i="17"/>
  <c r="T145" i="17"/>
  <c r="M140" i="17"/>
  <c r="T148" i="17"/>
  <c r="AC140" i="17" s="1"/>
  <c r="T146" i="17"/>
  <c r="E152" i="17"/>
  <c r="S148" i="17"/>
  <c r="D127" i="17"/>
  <c r="S126" i="17"/>
  <c r="E153" i="17"/>
  <c r="S149" i="17"/>
  <c r="R23" i="17"/>
  <c r="B23" i="17" s="1"/>
  <c r="L177" i="17"/>
  <c r="F71" i="17"/>
  <c r="R30" i="17"/>
  <c r="E154" i="17"/>
  <c r="S150" i="17"/>
  <c r="D129" i="17"/>
  <c r="S128" i="17"/>
  <c r="D130" i="17"/>
  <c r="S129" i="17"/>
  <c r="D131" i="17"/>
  <c r="S130" i="17"/>
  <c r="D132" i="17"/>
  <c r="S131" i="17"/>
  <c r="E148" i="17"/>
  <c r="S144" i="17"/>
  <c r="E149" i="17"/>
  <c r="S145" i="17"/>
  <c r="E150" i="17"/>
  <c r="S146" i="17"/>
  <c r="E151" i="17"/>
  <c r="S147" i="17"/>
  <c r="D167" i="17"/>
  <c r="T162" i="17" s="1"/>
  <c r="S167" i="17" s="1"/>
  <c r="O168" i="17"/>
  <c r="D128" i="17"/>
  <c r="S127" i="17"/>
  <c r="L85" i="16"/>
  <c r="L84" i="16"/>
  <c r="L83" i="16"/>
  <c r="L82" i="16"/>
  <c r="L81" i="16"/>
  <c r="M30" i="16"/>
  <c r="E31" i="16"/>
  <c r="O30" i="16"/>
  <c r="C60" i="16"/>
  <c r="M29" i="15"/>
  <c r="E30" i="15"/>
  <c r="C59" i="15"/>
  <c r="O29" i="15"/>
  <c r="L98" i="19"/>
  <c r="T98" i="19"/>
  <c r="M127" i="14"/>
  <c r="L80" i="14"/>
  <c r="L97" i="19"/>
  <c r="T97" i="19"/>
  <c r="M126" i="14"/>
  <c r="L79" i="14"/>
  <c r="L96" i="19"/>
  <c r="T96" i="19"/>
  <c r="M125" i="14"/>
  <c r="L78" i="14"/>
  <c r="L95" i="19"/>
  <c r="T95" i="19"/>
  <c r="M124" i="14"/>
  <c r="L77" i="14"/>
  <c r="L94" i="19"/>
  <c r="T94" i="19"/>
  <c r="L76" i="14"/>
  <c r="M123" i="14"/>
  <c r="L93" i="19"/>
  <c r="T93" i="19"/>
  <c r="M122" i="14"/>
  <c r="L92" i="19"/>
  <c r="T92" i="19"/>
  <c r="M121" i="14"/>
  <c r="L91" i="19"/>
  <c r="T91" i="19"/>
  <c r="M120" i="14"/>
  <c r="E90" i="19"/>
  <c r="L90" i="19"/>
  <c r="T90" i="19"/>
  <c r="M119" i="14"/>
  <c r="M30" i="14"/>
  <c r="E31" i="14"/>
  <c r="R32" i="14"/>
  <c r="S32" i="14" s="1"/>
  <c r="Y108" i="14" s="1"/>
  <c r="T32" i="14"/>
  <c r="U32" i="14" s="1"/>
  <c r="J122" i="14" s="1"/>
  <c r="R35" i="14"/>
  <c r="S35" i="14" s="1"/>
  <c r="Y111" i="14" s="1"/>
  <c r="T35" i="14"/>
  <c r="U35" i="14" s="1"/>
  <c r="J125" i="14" s="1"/>
  <c r="R31" i="14"/>
  <c r="S31" i="14" s="1"/>
  <c r="Y107" i="14" s="1"/>
  <c r="T31" i="14"/>
  <c r="U31" i="14" s="1"/>
  <c r="J121" i="14" s="1"/>
  <c r="R30" i="14"/>
  <c r="S30" i="14" s="1"/>
  <c r="Y106" i="14" s="1"/>
  <c r="T30" i="14"/>
  <c r="U30" i="14" s="1"/>
  <c r="J120" i="14" s="1"/>
  <c r="R29" i="14"/>
  <c r="S29" i="14" s="1"/>
  <c r="Y105" i="14" s="1"/>
  <c r="T29" i="14"/>
  <c r="U29" i="14" s="1"/>
  <c r="J119" i="14" s="1"/>
  <c r="R39" i="14"/>
  <c r="T39" i="14"/>
  <c r="U39" i="14" s="1"/>
  <c r="R38" i="14"/>
  <c r="T38" i="14"/>
  <c r="U38" i="14" s="1"/>
  <c r="R37" i="14"/>
  <c r="S37" i="14" s="1"/>
  <c r="Y113" i="14" s="1"/>
  <c r="T37" i="14"/>
  <c r="U37" i="14" s="1"/>
  <c r="J127" i="14" s="1"/>
  <c r="R36" i="14"/>
  <c r="S36" i="14" s="1"/>
  <c r="Y112" i="14" s="1"/>
  <c r="T36" i="14"/>
  <c r="U36" i="14" s="1"/>
  <c r="J126" i="14" s="1"/>
  <c r="R34" i="14"/>
  <c r="S34" i="14" s="1"/>
  <c r="Y110" i="14" s="1"/>
  <c r="T34" i="14"/>
  <c r="U34" i="14" s="1"/>
  <c r="J124" i="14" s="1"/>
  <c r="R33" i="14"/>
  <c r="S33" i="14" s="1"/>
  <c r="Y109" i="14" s="1"/>
  <c r="T33" i="14"/>
  <c r="U33" i="14" s="1"/>
  <c r="J123" i="14" s="1"/>
  <c r="C104" i="14"/>
  <c r="K110" i="14"/>
  <c r="K111" i="14"/>
  <c r="K109" i="14"/>
  <c r="K112" i="14"/>
  <c r="K113" i="14"/>
  <c r="K114" i="14"/>
  <c r="K115" i="14"/>
  <c r="K116" i="14"/>
  <c r="K117" i="14"/>
  <c r="O30" i="14"/>
  <c r="C59" i="14"/>
  <c r="L161" i="13"/>
  <c r="L160" i="13"/>
  <c r="L159" i="13"/>
  <c r="L158" i="13"/>
  <c r="L157" i="13"/>
  <c r="L156" i="13"/>
  <c r="L155" i="13"/>
  <c r="L154" i="13"/>
  <c r="L78" i="13"/>
  <c r="L77" i="13"/>
  <c r="L76" i="13"/>
  <c r="L75" i="13"/>
  <c r="B56" i="12"/>
  <c r="B101" i="12" s="1"/>
  <c r="K72" i="12"/>
  <c r="H168" i="9" s="1"/>
  <c r="J168" i="9" s="1"/>
  <c r="K73" i="12"/>
  <c r="H169" i="9" s="1"/>
  <c r="J169" i="9" s="1"/>
  <c r="K74" i="12"/>
  <c r="K89" i="12"/>
  <c r="B103" i="12"/>
  <c r="H12" i="12"/>
  <c r="H33" i="12" s="1"/>
  <c r="N55" i="11"/>
  <c r="B56" i="11"/>
  <c r="K72" i="11" s="1"/>
  <c r="W72" i="11" s="1"/>
  <c r="K71" i="11"/>
  <c r="W71" i="11" s="1"/>
  <c r="K73" i="11"/>
  <c r="W73" i="11" s="1"/>
  <c r="K88" i="11"/>
  <c r="W83" i="11" s="1"/>
  <c r="H12" i="11"/>
  <c r="H93" i="9"/>
  <c r="B191" i="9"/>
  <c r="H25" i="9"/>
  <c r="B184" i="9"/>
  <c r="J14" i="9"/>
  <c r="H72" i="9"/>
  <c r="R48" i="19"/>
  <c r="R43" i="18"/>
  <c r="R30" i="18"/>
  <c r="K127" i="18"/>
  <c r="AA127" i="18"/>
  <c r="J130" i="18"/>
  <c r="Z130" i="18"/>
  <c r="J131" i="18"/>
  <c r="Z131" i="18"/>
  <c r="J132" i="18"/>
  <c r="Z132" i="18"/>
  <c r="J133" i="18"/>
  <c r="Z133" i="18"/>
  <c r="J138" i="18"/>
  <c r="Z138" i="18"/>
  <c r="J139" i="18"/>
  <c r="Z139" i="18"/>
  <c r="J140" i="18"/>
  <c r="R35" i="19"/>
  <c r="K128" i="19"/>
  <c r="AA128" i="19"/>
  <c r="J131" i="19"/>
  <c r="Z131" i="19"/>
  <c r="J132" i="19"/>
  <c r="Z132" i="19"/>
  <c r="J133" i="19"/>
  <c r="Z133" i="19"/>
  <c r="J134" i="19"/>
  <c r="Z135" i="19"/>
  <c r="N44" i="11"/>
  <c r="H9" i="11"/>
  <c r="B25" i="33"/>
  <c r="J25" i="33" s="1"/>
  <c r="B25" i="31"/>
  <c r="J25" i="31" s="1"/>
  <c r="B25" i="32"/>
  <c r="J25" i="32" s="1"/>
  <c r="J118" i="7"/>
  <c r="I119" i="7"/>
  <c r="I130" i="7"/>
  <c r="I132" i="7"/>
  <c r="D43" i="9"/>
  <c r="F43" i="9" s="1"/>
  <c r="J22" i="13"/>
  <c r="E29" i="13"/>
  <c r="G29" i="13" s="1"/>
  <c r="B86" i="13"/>
  <c r="J151" i="31"/>
  <c r="J152" i="31" s="1"/>
  <c r="K152" i="31" s="1"/>
  <c r="B152" i="31"/>
  <c r="C152" i="31" s="1"/>
  <c r="J35" i="32"/>
  <c r="B69" i="32"/>
  <c r="J37" i="32"/>
  <c r="B71" i="32"/>
  <c r="B97" i="32"/>
  <c r="J97" i="32" s="1"/>
  <c r="S98" i="32"/>
  <c r="T98" i="32" s="1"/>
  <c r="B108" i="32"/>
  <c r="B98" i="32"/>
  <c r="J98" i="32" s="1"/>
  <c r="B99" i="32"/>
  <c r="J99" i="32" s="1"/>
  <c r="B96" i="32"/>
  <c r="J96" i="32" s="1"/>
  <c r="B138" i="32"/>
  <c r="J138" i="32" s="1"/>
  <c r="B139" i="32"/>
  <c r="J139" i="32" s="1"/>
  <c r="B63" i="32"/>
  <c r="B140" i="32"/>
  <c r="J140" i="32" s="1"/>
  <c r="L138" i="31"/>
  <c r="D139" i="31"/>
  <c r="A138" i="31"/>
  <c r="I138" i="31" s="1"/>
  <c r="J35" i="31"/>
  <c r="B69" i="31"/>
  <c r="J37" i="31"/>
  <c r="B63" i="31"/>
  <c r="B98" i="31"/>
  <c r="J98" i="31" s="1"/>
  <c r="B99" i="31"/>
  <c r="J99" i="31" s="1"/>
  <c r="C118" i="9"/>
  <c r="F118" i="9" s="1"/>
  <c r="E41" i="7"/>
  <c r="P43" i="7"/>
  <c r="O44" i="7"/>
  <c r="J122" i="7"/>
  <c r="I123" i="7"/>
  <c r="P36" i="7"/>
  <c r="O37" i="7"/>
  <c r="S39" i="7"/>
  <c r="S41" i="7"/>
  <c r="J12" i="27"/>
  <c r="AA114" i="7"/>
  <c r="AC38" i="7"/>
  <c r="AA39" i="7"/>
  <c r="N29" i="11"/>
  <c r="B48" i="11"/>
  <c r="J19" i="30"/>
  <c r="B107" i="30"/>
  <c r="T15" i="28"/>
  <c r="AJ23" i="28" s="1"/>
  <c r="P24" i="28"/>
  <c r="N27" i="11"/>
  <c r="B47" i="11"/>
  <c r="K70" i="11"/>
  <c r="K77" i="11"/>
  <c r="W77" i="11" s="1"/>
  <c r="K78" i="11"/>
  <c r="W78" i="11" s="1"/>
  <c r="K89" i="11"/>
  <c r="W84" i="11" s="1"/>
  <c r="F106" i="9"/>
  <c r="H106" i="9" s="1"/>
  <c r="J106" i="9" s="1"/>
  <c r="L106" i="9"/>
  <c r="AA115" i="7"/>
  <c r="AA99" i="7"/>
  <c r="AB99" i="7"/>
  <c r="AC56" i="7"/>
  <c r="AC57" i="7"/>
  <c r="AE38" i="7"/>
  <c r="T14" i="28"/>
  <c r="O36" i="28"/>
  <c r="B37" i="28"/>
  <c r="L37" i="28" s="1"/>
  <c r="B38" i="28"/>
  <c r="T38" i="28" s="1"/>
  <c r="B48" i="28"/>
  <c r="T48" i="28" s="1"/>
  <c r="C48" i="28"/>
  <c r="U48" i="28" s="1"/>
  <c r="C88" i="28"/>
  <c r="P118" i="9"/>
  <c r="Q118" i="9" s="1"/>
  <c r="R118" i="9"/>
  <c r="F113" i="9"/>
  <c r="H113" i="9" s="1"/>
  <c r="J113" i="9" s="1"/>
  <c r="L113" i="9"/>
  <c r="F112" i="9"/>
  <c r="H112" i="9" s="1"/>
  <c r="J112" i="9" s="1"/>
  <c r="L112" i="9"/>
  <c r="L13" i="26"/>
  <c r="AB4" i="26" s="1"/>
  <c r="AA11" i="26" s="1"/>
  <c r="AB11" i="26" s="1"/>
  <c r="AC11" i="26" s="1"/>
  <c r="Y13" i="26" s="1"/>
  <c r="Y14" i="26" s="1"/>
  <c r="B24" i="26"/>
  <c r="D62" i="26"/>
  <c r="N62" i="26" s="1"/>
  <c r="E62" i="26"/>
  <c r="D63" i="26"/>
  <c r="N63" i="26" s="1"/>
  <c r="E63" i="26"/>
  <c r="D64" i="26"/>
  <c r="N64" i="26" s="1"/>
  <c r="E64" i="26"/>
  <c r="D65" i="26"/>
  <c r="N65" i="26" s="1"/>
  <c r="E65" i="26"/>
  <c r="D66" i="26"/>
  <c r="N66" i="26" s="1"/>
  <c r="E66" i="26"/>
  <c r="D67" i="26"/>
  <c r="N67" i="26" s="1"/>
  <c r="E67" i="26"/>
  <c r="K14" i="29"/>
  <c r="B26" i="29"/>
  <c r="B65" i="29"/>
  <c r="J17" i="30"/>
  <c r="B105" i="30"/>
  <c r="J105" i="30" s="1"/>
  <c r="F111" i="9"/>
  <c r="H111" i="9" s="1"/>
  <c r="J111" i="9" s="1"/>
  <c r="L111" i="9"/>
  <c r="F110" i="9"/>
  <c r="H110" i="9" s="1"/>
  <c r="J110" i="9" s="1"/>
  <c r="L110" i="9"/>
  <c r="F109" i="9"/>
  <c r="H109" i="9" s="1"/>
  <c r="J109" i="9" s="1"/>
  <c r="L109" i="9"/>
  <c r="F105" i="9"/>
  <c r="H105" i="9" s="1"/>
  <c r="J105" i="9" s="1"/>
  <c r="L105" i="9"/>
  <c r="F104" i="9"/>
  <c r="L104" i="9"/>
  <c r="F101" i="9"/>
  <c r="K101" i="9"/>
  <c r="M101" i="9" s="1"/>
  <c r="O101" i="9" s="1"/>
  <c r="Q101" i="9" s="1"/>
  <c r="S101" i="9" s="1"/>
  <c r="F108" i="9"/>
  <c r="H108" i="9" s="1"/>
  <c r="J108" i="9" s="1"/>
  <c r="L108" i="9"/>
  <c r="F107" i="9"/>
  <c r="H107" i="9" s="1"/>
  <c r="J107" i="9" s="1"/>
  <c r="L107" i="9"/>
  <c r="B47" i="12"/>
  <c r="H37" i="12" s="1"/>
  <c r="K71" i="12"/>
  <c r="K78" i="12"/>
  <c r="K79" i="12"/>
  <c r="K90" i="12"/>
  <c r="J110" i="30"/>
  <c r="B114" i="30"/>
  <c r="J114" i="30" s="1"/>
  <c r="J21" i="30"/>
  <c r="B23" i="30"/>
  <c r="B24" i="30"/>
  <c r="F39" i="30" s="1"/>
  <c r="J109" i="30"/>
  <c r="B111" i="30"/>
  <c r="J111" i="30" s="1"/>
  <c r="H138" i="9"/>
  <c r="K151" i="9" s="1"/>
  <c r="E92" i="7" s="1"/>
  <c r="B197" i="9"/>
  <c r="N28" i="11"/>
  <c r="N12" i="11"/>
  <c r="B12" i="12"/>
  <c r="B80" i="12" s="1"/>
  <c r="B24" i="33"/>
  <c r="J24" i="33" s="1"/>
  <c r="B24" i="31"/>
  <c r="J24" i="31" s="1"/>
  <c r="B24" i="32"/>
  <c r="J24" i="32" s="1"/>
  <c r="K120" i="24"/>
  <c r="K16" i="24"/>
  <c r="R17" i="19"/>
  <c r="O11" i="19"/>
  <c r="R18" i="18"/>
  <c r="O11" i="18"/>
  <c r="J102" i="25"/>
  <c r="B138" i="25"/>
  <c r="D138" i="25" s="1"/>
  <c r="J17" i="27"/>
  <c r="K24" i="27" s="1"/>
  <c r="C24" i="27"/>
  <c r="T21" i="27" s="1"/>
  <c r="L26" i="27"/>
  <c r="S42" i="27"/>
  <c r="O33" i="37"/>
  <c r="P33" i="37" s="1"/>
  <c r="H33" i="37"/>
  <c r="H31" i="37"/>
  <c r="O31" i="37"/>
  <c r="P31" i="37" s="1"/>
  <c r="O32" i="37"/>
  <c r="P32" i="37" s="1"/>
  <c r="H32" i="37"/>
  <c r="B182" i="9"/>
  <c r="H7" i="9"/>
  <c r="O30" i="37"/>
  <c r="P30" i="37" s="1"/>
  <c r="H30" i="37"/>
  <c r="P44" i="39"/>
  <c r="Q44" i="39" s="1"/>
  <c r="P43" i="39"/>
  <c r="Q43" i="39" s="1"/>
  <c r="P40" i="39"/>
  <c r="Q40" i="39" s="1"/>
  <c r="G44" i="39"/>
  <c r="G43" i="39"/>
  <c r="G39" i="39"/>
  <c r="L69" i="37"/>
  <c r="J69" i="37" s="1"/>
  <c r="P45" i="39"/>
  <c r="Q45" i="39" s="1"/>
  <c r="P41" i="39"/>
  <c r="Q41" i="39" s="1"/>
  <c r="P39" i="39"/>
  <c r="Q39" i="39" s="1"/>
  <c r="G45" i="39"/>
  <c r="G42" i="39"/>
  <c r="B107" i="12"/>
  <c r="P42" i="39"/>
  <c r="Q42" i="39" s="1"/>
  <c r="G41" i="39"/>
  <c r="G40" i="39"/>
  <c r="U78" i="38"/>
  <c r="U84" i="38"/>
  <c r="U65" i="38"/>
  <c r="U75" i="38"/>
  <c r="U49" i="38"/>
  <c r="U63" i="38"/>
  <c r="U73" i="38"/>
  <c r="U74" i="38"/>
  <c r="U81" i="38"/>
  <c r="T35" i="38"/>
  <c r="B56" i="38" s="1"/>
  <c r="U72" i="38"/>
  <c r="U77" i="38"/>
  <c r="U76" i="38"/>
  <c r="U68" i="38"/>
  <c r="U57" i="38"/>
  <c r="U56" i="38"/>
  <c r="U54" i="38"/>
  <c r="U51" i="38"/>
  <c r="B73" i="38"/>
  <c r="U80" i="38"/>
  <c r="U69" i="38"/>
  <c r="U67" i="38"/>
  <c r="U64" i="38"/>
  <c r="U60" i="38"/>
  <c r="U53" i="38"/>
  <c r="U59" i="38"/>
  <c r="U62" i="38"/>
  <c r="U71" i="38"/>
  <c r="U79" i="38"/>
  <c r="U58" i="38"/>
  <c r="L72" i="37"/>
  <c r="J72" i="37" s="1"/>
  <c r="N54" i="37"/>
  <c r="L71" i="37"/>
  <c r="J71" i="37" s="1"/>
  <c r="N53" i="37"/>
  <c r="L70" i="37"/>
  <c r="J70" i="37" s="1"/>
  <c r="N52" i="37"/>
  <c r="L68" i="37"/>
  <c r="J68" i="37" s="1"/>
  <c r="N50" i="37"/>
  <c r="J9" i="33"/>
  <c r="J48" i="33" s="1"/>
  <c r="B48" i="33"/>
  <c r="J150" i="32"/>
  <c r="J152" i="32" s="1"/>
  <c r="K152" i="32" s="1"/>
  <c r="B152" i="32"/>
  <c r="C152" i="32" s="1"/>
  <c r="K113" i="24"/>
  <c r="B116" i="24"/>
  <c r="T41" i="23"/>
  <c r="T82" i="23" s="1"/>
  <c r="S82" i="23" s="1"/>
  <c r="B82" i="23"/>
  <c r="A82" i="23" s="1"/>
  <c r="B78" i="23"/>
  <c r="A78" i="23" s="1"/>
  <c r="B38" i="23"/>
  <c r="T41" i="22"/>
  <c r="T82" i="22" s="1"/>
  <c r="S82" i="22" s="1"/>
  <c r="B82" i="22"/>
  <c r="A82" i="22" s="1"/>
  <c r="T22" i="23"/>
  <c r="B50" i="23"/>
  <c r="T50" i="23" s="1"/>
  <c r="AB99" i="19"/>
  <c r="W99" i="19"/>
  <c r="AA130" i="17"/>
  <c r="AA131" i="17"/>
  <c r="AA132" i="17"/>
  <c r="AA134" i="17"/>
  <c r="J41" i="9"/>
  <c r="N24" i="11"/>
  <c r="B106" i="11"/>
  <c r="N21" i="11"/>
  <c r="B79" i="11"/>
  <c r="N79" i="11" s="1"/>
  <c r="N14" i="11" s="1"/>
  <c r="K91" i="12"/>
  <c r="K82" i="12"/>
  <c r="B147" i="9"/>
  <c r="F147" i="9" s="1"/>
  <c r="H147" i="9" s="1"/>
  <c r="D143" i="7"/>
  <c r="B145" i="9" s="1"/>
  <c r="F145" i="9" s="1"/>
  <c r="H145" i="9" s="1"/>
  <c r="K146" i="9" s="1"/>
  <c r="J13" i="13"/>
  <c r="B139" i="34" l="1"/>
  <c r="L139" i="34"/>
  <c r="D140" i="34"/>
  <c r="A139" i="34"/>
  <c r="J138" i="34"/>
  <c r="I138" i="34"/>
  <c r="J60" i="34"/>
  <c r="B57" i="34"/>
  <c r="J177" i="33"/>
  <c r="L140" i="33"/>
  <c r="A140" i="33"/>
  <c r="I140" i="33" s="1"/>
  <c r="D141" i="33"/>
  <c r="B57" i="33"/>
  <c r="J62" i="33"/>
  <c r="B58" i="33"/>
  <c r="J107" i="33"/>
  <c r="A137" i="34"/>
  <c r="I137" i="34"/>
  <c r="J55" i="34"/>
  <c r="J176" i="32"/>
  <c r="D141" i="32"/>
  <c r="L140" i="32"/>
  <c r="A140" i="32"/>
  <c r="I140" i="32" s="1"/>
  <c r="J176" i="31"/>
  <c r="J107" i="31"/>
  <c r="J127" i="30"/>
  <c r="B128" i="30"/>
  <c r="N39" i="30"/>
  <c r="F42" i="30"/>
  <c r="Q109" i="35"/>
  <c r="K87" i="29"/>
  <c r="AC76" i="28"/>
  <c r="AB76" i="28" s="1"/>
  <c r="T82" i="28"/>
  <c r="S82" i="28" s="1"/>
  <c r="AF18" i="28"/>
  <c r="AE20" i="28" s="1"/>
  <c r="I62" i="26"/>
  <c r="I63" i="26"/>
  <c r="S63" i="26" s="1"/>
  <c r="I65" i="26"/>
  <c r="S65" i="26" s="1"/>
  <c r="I67" i="26"/>
  <c r="S67" i="26" s="1"/>
  <c r="I64" i="26"/>
  <c r="S64" i="26" s="1"/>
  <c r="I66" i="26"/>
  <c r="S66" i="26" s="1"/>
  <c r="M39" i="26"/>
  <c r="J164" i="25"/>
  <c r="L164" i="25" s="1"/>
  <c r="K164" i="25"/>
  <c r="M164" i="25" s="1"/>
  <c r="AC74" i="23"/>
  <c r="AB74" i="23" s="1"/>
  <c r="T83" i="23"/>
  <c r="S83" i="23" s="1"/>
  <c r="AC74" i="22"/>
  <c r="AB74" i="22" s="1"/>
  <c r="T83" i="22"/>
  <c r="S83" i="22" s="1"/>
  <c r="L166" i="17"/>
  <c r="L168" i="17" s="1"/>
  <c r="U161" i="17"/>
  <c r="L167" i="19"/>
  <c r="L169" i="19" s="1"/>
  <c r="U162" i="19"/>
  <c r="L167" i="20"/>
  <c r="L169" i="20" s="1"/>
  <c r="U162" i="20"/>
  <c r="R40" i="18"/>
  <c r="B41" i="18"/>
  <c r="R45" i="17"/>
  <c r="R46" i="17" s="1"/>
  <c r="B46" i="17"/>
  <c r="B50" i="17" s="1"/>
  <c r="R45" i="19"/>
  <c r="R46" i="19" s="1"/>
  <c r="B46" i="19"/>
  <c r="B50" i="19" s="1"/>
  <c r="R45" i="20"/>
  <c r="R46" i="20" s="1"/>
  <c r="B46" i="20"/>
  <c r="B50" i="20" s="1"/>
  <c r="R43" i="9"/>
  <c r="M39" i="22"/>
  <c r="AB56" i="22" s="1"/>
  <c r="C97" i="22"/>
  <c r="C101" i="22" s="1"/>
  <c r="C103" i="22" s="1"/>
  <c r="C104" i="22" s="1"/>
  <c r="N43" i="9"/>
  <c r="P43" i="9" s="1"/>
  <c r="Q43" i="9" s="1"/>
  <c r="C90" i="22"/>
  <c r="X49" i="9"/>
  <c r="AD33" i="22"/>
  <c r="B42" i="22"/>
  <c r="N27" i="22"/>
  <c r="L89" i="21"/>
  <c r="M89" i="21"/>
  <c r="N89" i="21"/>
  <c r="J102" i="21" s="1"/>
  <c r="J103" i="21" s="1"/>
  <c r="L96" i="21"/>
  <c r="M96" i="21"/>
  <c r="E51" i="21"/>
  <c r="M51" i="21" s="1"/>
  <c r="K51" i="21"/>
  <c r="D32" i="21"/>
  <c r="E32" i="21" s="1"/>
  <c r="K32" i="21"/>
  <c r="L32" i="21" s="1"/>
  <c r="M32" i="21" s="1"/>
  <c r="U92" i="20"/>
  <c r="E93" i="20"/>
  <c r="C90" i="20"/>
  <c r="V71" i="20"/>
  <c r="B128" i="20"/>
  <c r="R127" i="20" s="1"/>
  <c r="AD131" i="20" s="1"/>
  <c r="O163" i="20"/>
  <c r="B71" i="20"/>
  <c r="E130" i="20"/>
  <c r="T129" i="20"/>
  <c r="E129" i="20"/>
  <c r="T128" i="20"/>
  <c r="E128" i="20"/>
  <c r="T127" i="20"/>
  <c r="S71" i="20"/>
  <c r="E132" i="20"/>
  <c r="T131" i="20"/>
  <c r="E133" i="20"/>
  <c r="T132" i="20"/>
  <c r="U145" i="20"/>
  <c r="U147" i="20"/>
  <c r="U148" i="20"/>
  <c r="U149" i="20"/>
  <c r="U150" i="20"/>
  <c r="U151" i="20"/>
  <c r="E131" i="20"/>
  <c r="T130" i="20"/>
  <c r="C173" i="20"/>
  <c r="U146" i="20"/>
  <c r="C173" i="19"/>
  <c r="U151" i="19"/>
  <c r="U150" i="19"/>
  <c r="U149" i="19"/>
  <c r="U148" i="19"/>
  <c r="U147" i="19"/>
  <c r="U146" i="19"/>
  <c r="U145" i="19"/>
  <c r="E133" i="19"/>
  <c r="T132" i="19"/>
  <c r="E132" i="19"/>
  <c r="T131" i="19"/>
  <c r="E131" i="19"/>
  <c r="T130" i="19"/>
  <c r="E130" i="19"/>
  <c r="T129" i="19"/>
  <c r="E129" i="19"/>
  <c r="T128" i="19"/>
  <c r="E128" i="19"/>
  <c r="T127" i="19"/>
  <c r="S71" i="19"/>
  <c r="I71" i="19"/>
  <c r="E128" i="18"/>
  <c r="T128" i="18"/>
  <c r="E127" i="18"/>
  <c r="T127" i="18"/>
  <c r="E130" i="18"/>
  <c r="T130" i="18"/>
  <c r="E131" i="18"/>
  <c r="T131" i="18"/>
  <c r="E132" i="18"/>
  <c r="T132" i="18"/>
  <c r="E129" i="18"/>
  <c r="T129" i="18"/>
  <c r="U92" i="17"/>
  <c r="E93" i="17"/>
  <c r="H92" i="17"/>
  <c r="U148" i="17"/>
  <c r="E127" i="17"/>
  <c r="T126" i="17"/>
  <c r="G154" i="17"/>
  <c r="U149" i="17"/>
  <c r="S71" i="17"/>
  <c r="G155" i="17"/>
  <c r="U150" i="17"/>
  <c r="E129" i="17"/>
  <c r="T128" i="17"/>
  <c r="E130" i="17"/>
  <c r="T129" i="17"/>
  <c r="E131" i="17"/>
  <c r="T130" i="17"/>
  <c r="E132" i="17"/>
  <c r="T131" i="17"/>
  <c r="U144" i="17"/>
  <c r="U145" i="17"/>
  <c r="U146" i="17"/>
  <c r="U147" i="17"/>
  <c r="C172" i="17"/>
  <c r="E128" i="17"/>
  <c r="T127" i="17"/>
  <c r="G31" i="16"/>
  <c r="M31" i="16"/>
  <c r="E32" i="16"/>
  <c r="E60" i="16"/>
  <c r="M60" i="16" s="1"/>
  <c r="G60" i="16"/>
  <c r="O60" i="16" s="1"/>
  <c r="K60" i="16"/>
  <c r="G30" i="15"/>
  <c r="M30" i="15"/>
  <c r="E31" i="15"/>
  <c r="E59" i="15"/>
  <c r="M59" i="15" s="1"/>
  <c r="G59" i="15"/>
  <c r="O59" i="15" s="1"/>
  <c r="K59" i="15"/>
  <c r="W98" i="19"/>
  <c r="AB98" i="19"/>
  <c r="V98" i="19"/>
  <c r="AB97" i="19"/>
  <c r="W97" i="19"/>
  <c r="V97" i="19"/>
  <c r="W96" i="19"/>
  <c r="AB96" i="19"/>
  <c r="V96" i="19"/>
  <c r="Y135" i="19"/>
  <c r="W95" i="19"/>
  <c r="AB95" i="19"/>
  <c r="V95" i="19"/>
  <c r="W94" i="19"/>
  <c r="AB94" i="19"/>
  <c r="V94" i="19"/>
  <c r="AB93" i="19"/>
  <c r="W93" i="19"/>
  <c r="V93" i="19"/>
  <c r="AB92" i="19"/>
  <c r="W92" i="19"/>
  <c r="V92" i="19"/>
  <c r="Y133" i="19"/>
  <c r="AB91" i="19"/>
  <c r="W91" i="19"/>
  <c r="V91" i="19"/>
  <c r="Y132" i="19"/>
  <c r="AB90" i="19"/>
  <c r="W90" i="19"/>
  <c r="V90" i="19"/>
  <c r="Y131" i="19"/>
  <c r="G31" i="14"/>
  <c r="M31" i="14"/>
  <c r="E32" i="14"/>
  <c r="E59" i="14"/>
  <c r="M59" i="14" s="1"/>
  <c r="G59" i="14"/>
  <c r="K59" i="14"/>
  <c r="L177" i="13"/>
  <c r="L176" i="13"/>
  <c r="L175" i="13"/>
  <c r="L174" i="13"/>
  <c r="L173" i="13"/>
  <c r="L172" i="13"/>
  <c r="L171" i="13"/>
  <c r="L170" i="13"/>
  <c r="C154" i="7"/>
  <c r="C155" i="7" s="1"/>
  <c r="E88" i="7"/>
  <c r="E36" i="7" s="1"/>
  <c r="H171" i="9"/>
  <c r="J171" i="9" s="1"/>
  <c r="N56" i="11"/>
  <c r="B100" i="11"/>
  <c r="T12" i="11"/>
  <c r="H33" i="11"/>
  <c r="T33" i="11" s="1"/>
  <c r="H163" i="9"/>
  <c r="J25" i="9"/>
  <c r="B34" i="31"/>
  <c r="J34" i="31" s="1"/>
  <c r="B34" i="32"/>
  <c r="J34" i="32" s="1"/>
  <c r="B16" i="35"/>
  <c r="B34" i="33"/>
  <c r="J34" i="33" s="1"/>
  <c r="R50" i="19"/>
  <c r="B51" i="19"/>
  <c r="T9" i="11"/>
  <c r="H29" i="11"/>
  <c r="T29" i="11" s="1"/>
  <c r="B186" i="9"/>
  <c r="H43" i="9"/>
  <c r="M29" i="13"/>
  <c r="E30" i="13"/>
  <c r="B87" i="13"/>
  <c r="C87" i="13" s="1"/>
  <c r="J84" i="13"/>
  <c r="J85" i="13" s="1"/>
  <c r="K85" i="13" s="1"/>
  <c r="J69" i="32"/>
  <c r="J71" i="32"/>
  <c r="B75" i="32"/>
  <c r="J75" i="32" s="1"/>
  <c r="J108" i="32"/>
  <c r="B107" i="32"/>
  <c r="S109" i="32"/>
  <c r="J63" i="32"/>
  <c r="B62" i="32"/>
  <c r="J62" i="32" s="1"/>
  <c r="B139" i="31"/>
  <c r="J139" i="31" s="1"/>
  <c r="L139" i="31"/>
  <c r="D140" i="31"/>
  <c r="A139" i="31"/>
  <c r="I139" i="31" s="1"/>
  <c r="J69" i="31"/>
  <c r="J63" i="31"/>
  <c r="B62" i="31"/>
  <c r="J62" i="31" s="1"/>
  <c r="H118" i="9"/>
  <c r="B195" i="9"/>
  <c r="AA38" i="7"/>
  <c r="N48" i="11"/>
  <c r="K84" i="11"/>
  <c r="J107" i="30"/>
  <c r="B125" i="30"/>
  <c r="J125" i="30" s="1"/>
  <c r="N47" i="11"/>
  <c r="H37" i="11"/>
  <c r="T37" i="11" s="1"/>
  <c r="W70" i="11"/>
  <c r="K74" i="11"/>
  <c r="W74" i="11" s="1"/>
  <c r="AA56" i="7"/>
  <c r="AB56" i="7"/>
  <c r="AA57" i="7"/>
  <c r="AI35" i="28"/>
  <c r="T37" i="28"/>
  <c r="U88" i="28"/>
  <c r="C97" i="28"/>
  <c r="C101" i="28" s="1"/>
  <c r="C103" i="28" s="1"/>
  <c r="C104" i="28" s="1"/>
  <c r="G98" i="28"/>
  <c r="U98" i="28" s="1"/>
  <c r="AE32" i="28"/>
  <c r="AG26" i="28" s="1"/>
  <c r="L24" i="26"/>
  <c r="M42" i="26" s="1"/>
  <c r="C42" i="26"/>
  <c r="F62" i="26"/>
  <c r="O62" i="26"/>
  <c r="F63" i="26"/>
  <c r="O63" i="26"/>
  <c r="F64" i="26"/>
  <c r="O64" i="26"/>
  <c r="F65" i="26"/>
  <c r="O65" i="26"/>
  <c r="F66" i="26"/>
  <c r="O66" i="26"/>
  <c r="F67" i="26"/>
  <c r="O67" i="26"/>
  <c r="K26" i="29"/>
  <c r="J161" i="30" s="1"/>
  <c r="K65" i="29"/>
  <c r="B193" i="9"/>
  <c r="H104" i="9"/>
  <c r="H101" i="9"/>
  <c r="B192" i="9"/>
  <c r="K75" i="12"/>
  <c r="B23" i="35"/>
  <c r="H167" i="9"/>
  <c r="J167" i="9" s="1"/>
  <c r="B22" i="35"/>
  <c r="H170" i="9"/>
  <c r="J170" i="9" s="1"/>
  <c r="B38" i="33"/>
  <c r="J38" i="33" s="1"/>
  <c r="B38" i="31"/>
  <c r="J38" i="31" s="1"/>
  <c r="B38" i="32"/>
  <c r="J38" i="32" s="1"/>
  <c r="B35" i="34"/>
  <c r="B38" i="34"/>
  <c r="J38" i="34" s="1"/>
  <c r="B21" i="35"/>
  <c r="E89" i="7"/>
  <c r="H172" i="9"/>
  <c r="J172" i="9" s="1"/>
  <c r="J23" i="30"/>
  <c r="B26" i="30"/>
  <c r="J24" i="30"/>
  <c r="B64" i="30"/>
  <c r="M123" i="25"/>
  <c r="D122" i="25" s="1"/>
  <c r="M124" i="25"/>
  <c r="M125" i="25"/>
  <c r="M126" i="25"/>
  <c r="M127" i="25"/>
  <c r="M128" i="25"/>
  <c r="M129" i="25"/>
  <c r="M130" i="25"/>
  <c r="M131" i="25"/>
  <c r="M132" i="25"/>
  <c r="J7" i="9"/>
  <c r="K56" i="38"/>
  <c r="N78" i="38" s="1"/>
  <c r="B54" i="38"/>
  <c r="E78" i="38"/>
  <c r="B75" i="38"/>
  <c r="K73" i="38"/>
  <c r="B118" i="24"/>
  <c r="K116" i="24"/>
  <c r="T38" i="23"/>
  <c r="AA142" i="17"/>
  <c r="AD134" i="17"/>
  <c r="N106" i="11"/>
  <c r="B20" i="35"/>
  <c r="B39" i="32"/>
  <c r="J39" i="32" s="1"/>
  <c r="B39" i="31"/>
  <c r="J39" i="31" s="1"/>
  <c r="B39" i="33"/>
  <c r="J39" i="33" s="1"/>
  <c r="C58" i="13"/>
  <c r="O29" i="13"/>
  <c r="H21" i="12"/>
  <c r="AC142" i="17"/>
  <c r="AC136" i="17"/>
  <c r="AC137" i="17"/>
  <c r="AC138" i="17"/>
  <c r="F48" i="39"/>
  <c r="O48" i="39"/>
  <c r="U71" i="17"/>
  <c r="I71" i="17"/>
  <c r="U90" i="19"/>
  <c r="E91" i="19"/>
  <c r="C90" i="28"/>
  <c r="G97" i="28"/>
  <c r="J139" i="34" l="1"/>
  <c r="I139" i="34"/>
  <c r="B140" i="34"/>
  <c r="A140" i="34"/>
  <c r="D141" i="34"/>
  <c r="L140" i="34"/>
  <c r="R147" i="34"/>
  <c r="R148" i="34" s="1"/>
  <c r="J57" i="34"/>
  <c r="L141" i="33"/>
  <c r="D142" i="33"/>
  <c r="A141" i="33"/>
  <c r="I141" i="33" s="1"/>
  <c r="B75" i="33"/>
  <c r="J75" i="33" s="1"/>
  <c r="B138" i="33"/>
  <c r="J138" i="33" s="1"/>
  <c r="B141" i="33"/>
  <c r="J141" i="33" s="1"/>
  <c r="J57" i="33"/>
  <c r="B140" i="33"/>
  <c r="J140" i="33" s="1"/>
  <c r="B142" i="33"/>
  <c r="J142" i="33" s="1"/>
  <c r="B139" i="33"/>
  <c r="J139" i="33" s="1"/>
  <c r="B150" i="33"/>
  <c r="J58" i="33"/>
  <c r="B141" i="32"/>
  <c r="J141" i="32" s="1"/>
  <c r="L141" i="32"/>
  <c r="A141" i="32"/>
  <c r="I141" i="32" s="1"/>
  <c r="D142" i="32"/>
  <c r="B32" i="29"/>
  <c r="J128" i="30"/>
  <c r="F133" i="30"/>
  <c r="E24" i="27"/>
  <c r="N42" i="30"/>
  <c r="Q110" i="35"/>
  <c r="B89" i="25"/>
  <c r="B18" i="26"/>
  <c r="S62" i="26"/>
  <c r="C171" i="17"/>
  <c r="C172" i="19"/>
  <c r="C172" i="20"/>
  <c r="B45" i="18"/>
  <c r="R41" i="18"/>
  <c r="B51" i="17"/>
  <c r="R50" i="17"/>
  <c r="B51" i="20"/>
  <c r="R50" i="20"/>
  <c r="C92" i="22"/>
  <c r="C93" i="22" s="1"/>
  <c r="U90" i="22"/>
  <c r="U92" i="22" s="1"/>
  <c r="U93" i="22" s="1"/>
  <c r="Y51" i="9"/>
  <c r="Y49" i="9"/>
  <c r="T42" i="22"/>
  <c r="T67" i="21"/>
  <c r="G98" i="22"/>
  <c r="U98" i="22" s="1"/>
  <c r="G97" i="22"/>
  <c r="AG28" i="22"/>
  <c r="U93" i="20"/>
  <c r="E94" i="20"/>
  <c r="S90" i="20"/>
  <c r="L90" i="20"/>
  <c r="G90" i="20"/>
  <c r="F90" i="20"/>
  <c r="O164" i="20"/>
  <c r="O165" i="20"/>
  <c r="C168" i="20"/>
  <c r="S163" i="20" s="1"/>
  <c r="N90" i="20"/>
  <c r="J90" i="20" s="1"/>
  <c r="I131" i="20"/>
  <c r="B149" i="20"/>
  <c r="F130" i="20"/>
  <c r="U129" i="20"/>
  <c r="F129" i="20"/>
  <c r="U128" i="20"/>
  <c r="F128" i="20"/>
  <c r="U127" i="20"/>
  <c r="F132" i="20"/>
  <c r="U131" i="20"/>
  <c r="F133" i="20"/>
  <c r="U132" i="20"/>
  <c r="F131" i="20"/>
  <c r="U130" i="20"/>
  <c r="F133" i="19"/>
  <c r="U132" i="19"/>
  <c r="F132" i="19"/>
  <c r="U131" i="19"/>
  <c r="F131" i="19"/>
  <c r="U130" i="19"/>
  <c r="F130" i="19"/>
  <c r="U129" i="19"/>
  <c r="F129" i="19"/>
  <c r="U128" i="19"/>
  <c r="F128" i="19"/>
  <c r="U127" i="19"/>
  <c r="V71" i="19"/>
  <c r="B128" i="19"/>
  <c r="R127" i="19" s="1"/>
  <c r="O163" i="19"/>
  <c r="B109" i="13"/>
  <c r="B110" i="14"/>
  <c r="B71" i="19"/>
  <c r="F128" i="18"/>
  <c r="U128" i="18"/>
  <c r="F127" i="18"/>
  <c r="U127" i="18"/>
  <c r="F130" i="18"/>
  <c r="U130" i="18"/>
  <c r="F131" i="18"/>
  <c r="U131" i="18"/>
  <c r="F132" i="18"/>
  <c r="U132" i="18"/>
  <c r="F129" i="18"/>
  <c r="U129" i="18"/>
  <c r="E94" i="17"/>
  <c r="H93" i="17"/>
  <c r="U93" i="17"/>
  <c r="F127" i="17"/>
  <c r="U126" i="17"/>
  <c r="W150" i="17"/>
  <c r="F129" i="17"/>
  <c r="U128" i="17"/>
  <c r="F130" i="17"/>
  <c r="U129" i="17"/>
  <c r="F131" i="17"/>
  <c r="U130" i="17"/>
  <c r="F132" i="17"/>
  <c r="U131" i="17"/>
  <c r="F128" i="17"/>
  <c r="U127" i="17"/>
  <c r="C61" i="16"/>
  <c r="O31" i="16"/>
  <c r="G32" i="16"/>
  <c r="M32" i="16"/>
  <c r="E33" i="16"/>
  <c r="O30" i="15"/>
  <c r="C60" i="15"/>
  <c r="G31" i="15"/>
  <c r="E32" i="15"/>
  <c r="M31" i="15"/>
  <c r="AA135" i="19"/>
  <c r="AB135" i="19"/>
  <c r="AA133" i="19"/>
  <c r="AB133" i="19"/>
  <c r="AA132" i="19"/>
  <c r="AB132" i="19"/>
  <c r="AA131" i="19"/>
  <c r="AB131" i="19"/>
  <c r="C60" i="14"/>
  <c r="O31" i="14"/>
  <c r="G32" i="14"/>
  <c r="M32" i="14"/>
  <c r="E33" i="14"/>
  <c r="O59" i="14"/>
  <c r="O72" i="14" s="1"/>
  <c r="G73" i="14"/>
  <c r="B102" i="11"/>
  <c r="N102" i="11" s="1"/>
  <c r="N100" i="11"/>
  <c r="H21" i="11"/>
  <c r="T21" i="11" s="1"/>
  <c r="B34" i="34"/>
  <c r="J34" i="34" s="1"/>
  <c r="B17" i="35"/>
  <c r="S16" i="35"/>
  <c r="H44" i="35"/>
  <c r="R51" i="19"/>
  <c r="E72" i="19"/>
  <c r="F72" i="19" s="1"/>
  <c r="R72" i="19"/>
  <c r="E73" i="19"/>
  <c r="F73" i="19" s="1"/>
  <c r="R73" i="19"/>
  <c r="E74" i="19"/>
  <c r="F74" i="19" s="1"/>
  <c r="R82" i="19"/>
  <c r="R83" i="19"/>
  <c r="H71" i="9"/>
  <c r="J43" i="9"/>
  <c r="G30" i="13"/>
  <c r="M30" i="13"/>
  <c r="E31" i="13"/>
  <c r="J107" i="32"/>
  <c r="B140" i="31"/>
  <c r="J140" i="31" s="1"/>
  <c r="L140" i="31"/>
  <c r="D141" i="31"/>
  <c r="A140" i="31"/>
  <c r="I140" i="31" s="1"/>
  <c r="J118" i="9"/>
  <c r="H162" i="9"/>
  <c r="K81" i="11"/>
  <c r="W79" i="11" s="1"/>
  <c r="K90" i="11"/>
  <c r="W85" i="11" s="1"/>
  <c r="W80" i="11"/>
  <c r="P62" i="26"/>
  <c r="Q62" i="26" s="1"/>
  <c r="R62" i="26" s="1"/>
  <c r="G62" i="26"/>
  <c r="H62" i="26" s="1"/>
  <c r="P63" i="26"/>
  <c r="Q63" i="26" s="1"/>
  <c r="R63" i="26" s="1"/>
  <c r="G63" i="26"/>
  <c r="H63" i="26" s="1"/>
  <c r="P64" i="26"/>
  <c r="Q64" i="26" s="1"/>
  <c r="R64" i="26" s="1"/>
  <c r="G64" i="26"/>
  <c r="H64" i="26" s="1"/>
  <c r="P65" i="26"/>
  <c r="Q65" i="26" s="1"/>
  <c r="R65" i="26" s="1"/>
  <c r="G65" i="26"/>
  <c r="H65" i="26" s="1"/>
  <c r="P66" i="26"/>
  <c r="Q66" i="26" s="1"/>
  <c r="R66" i="26" s="1"/>
  <c r="G66" i="26"/>
  <c r="H66" i="26" s="1"/>
  <c r="P67" i="26"/>
  <c r="Q67" i="26" s="1"/>
  <c r="R67" i="26" s="1"/>
  <c r="G67" i="26"/>
  <c r="H67" i="26" s="1"/>
  <c r="J104" i="9"/>
  <c r="J101" i="9"/>
  <c r="S23" i="35"/>
  <c r="H64" i="35"/>
  <c r="Y64" i="35" s="1"/>
  <c r="D77" i="35"/>
  <c r="U77" i="35" s="1"/>
  <c r="S22" i="35"/>
  <c r="B68" i="34"/>
  <c r="B67" i="34"/>
  <c r="J35" i="34"/>
  <c r="S21" i="35"/>
  <c r="H61" i="35"/>
  <c r="B84" i="30"/>
  <c r="J26" i="30"/>
  <c r="B113" i="30"/>
  <c r="B82" i="30"/>
  <c r="J64" i="30"/>
  <c r="K54" i="38"/>
  <c r="B55" i="38"/>
  <c r="G77" i="38"/>
  <c r="F77" i="38"/>
  <c r="K75" i="38"/>
  <c r="F78" i="38"/>
  <c r="B119" i="24"/>
  <c r="K118" i="24"/>
  <c r="H52" i="35"/>
  <c r="S20" i="35"/>
  <c r="E58" i="13"/>
  <c r="G58" i="13"/>
  <c r="K58" i="13"/>
  <c r="K104" i="13"/>
  <c r="C138" i="33"/>
  <c r="C138" i="32"/>
  <c r="F138" i="32" s="1"/>
  <c r="C138" i="31"/>
  <c r="F138" i="31" s="1"/>
  <c r="B71" i="17"/>
  <c r="O162" i="17"/>
  <c r="B127" i="17"/>
  <c r="R126" i="17" s="1"/>
  <c r="AD130" i="17" s="1"/>
  <c r="V71" i="17"/>
  <c r="C90" i="17"/>
  <c r="E92" i="19"/>
  <c r="U91" i="19"/>
  <c r="C92" i="28"/>
  <c r="C93" i="28" s="1"/>
  <c r="U90" i="28"/>
  <c r="U92" i="28" s="1"/>
  <c r="U93" i="28" s="1"/>
  <c r="G103" i="28"/>
  <c r="U97" i="28"/>
  <c r="G78" i="38"/>
  <c r="B141" i="34" l="1"/>
  <c r="D142" i="34"/>
  <c r="A141" i="34"/>
  <c r="L141" i="34"/>
  <c r="J140" i="34"/>
  <c r="I140" i="34"/>
  <c r="L142" i="33"/>
  <c r="D143" i="33"/>
  <c r="A142" i="33"/>
  <c r="I142" i="33" s="1"/>
  <c r="J150" i="33"/>
  <c r="B151" i="33"/>
  <c r="B142" i="32"/>
  <c r="J142" i="32" s="1"/>
  <c r="D143" i="32"/>
  <c r="L142" i="32"/>
  <c r="A142" i="32"/>
  <c r="I142" i="32" s="1"/>
  <c r="B71" i="29"/>
  <c r="K71" i="29" s="1"/>
  <c r="K32" i="29"/>
  <c r="N133" i="30"/>
  <c r="F141" i="30"/>
  <c r="N141" i="30" s="1"/>
  <c r="F24" i="27"/>
  <c r="M24" i="27"/>
  <c r="U22" i="27"/>
  <c r="L18" i="26"/>
  <c r="D43" i="7"/>
  <c r="S166" i="17"/>
  <c r="S167" i="19"/>
  <c r="S167" i="20"/>
  <c r="B46" i="18"/>
  <c r="R45" i="18"/>
  <c r="R51" i="17"/>
  <c r="E72" i="17"/>
  <c r="F72" i="17" s="1"/>
  <c r="R72" i="17"/>
  <c r="E73" i="17"/>
  <c r="F73" i="17" s="1"/>
  <c r="R73" i="17"/>
  <c r="E74" i="17"/>
  <c r="F74" i="17" s="1"/>
  <c r="E75" i="17"/>
  <c r="F75" i="17" s="1"/>
  <c r="R76" i="17"/>
  <c r="E77" i="17"/>
  <c r="F77" i="17" s="1"/>
  <c r="E79" i="17"/>
  <c r="F79" i="17" s="1"/>
  <c r="R79" i="17"/>
  <c r="E80" i="17"/>
  <c r="F80" i="17" s="1"/>
  <c r="R80" i="17"/>
  <c r="E81" i="17"/>
  <c r="F81" i="17" s="1"/>
  <c r="R81" i="17"/>
  <c r="E82" i="17"/>
  <c r="F82" i="17" s="1"/>
  <c r="R82" i="17"/>
  <c r="E83" i="17"/>
  <c r="F83" i="17" s="1"/>
  <c r="R83" i="17"/>
  <c r="E84" i="17"/>
  <c r="F84" i="17" s="1"/>
  <c r="I84" i="17" s="1"/>
  <c r="B84" i="17" s="1"/>
  <c r="B21" i="25"/>
  <c r="R74" i="17"/>
  <c r="R75" i="17"/>
  <c r="E76" i="17"/>
  <c r="F76" i="17" s="1"/>
  <c r="R51" i="20"/>
  <c r="E72" i="20"/>
  <c r="F72" i="20" s="1"/>
  <c r="R72" i="20"/>
  <c r="E73" i="20"/>
  <c r="F73" i="20" s="1"/>
  <c r="R73" i="20"/>
  <c r="E74" i="20"/>
  <c r="F74" i="20" s="1"/>
  <c r="R74" i="20"/>
  <c r="E75" i="20"/>
  <c r="F75" i="20" s="1"/>
  <c r="R75" i="20"/>
  <c r="E76" i="20"/>
  <c r="F76" i="20" s="1"/>
  <c r="E81" i="20"/>
  <c r="F81" i="20" s="1"/>
  <c r="R81" i="20"/>
  <c r="E82" i="20"/>
  <c r="F82" i="20" s="1"/>
  <c r="R82" i="20"/>
  <c r="E83" i="20"/>
  <c r="F83" i="20" s="1"/>
  <c r="R83" i="20"/>
  <c r="E84" i="20"/>
  <c r="F84" i="20" s="1"/>
  <c r="I84" i="20" s="1"/>
  <c r="B84" i="20" s="1"/>
  <c r="Z51" i="9"/>
  <c r="T62" i="9"/>
  <c r="AA49" i="9"/>
  <c r="X51" i="9"/>
  <c r="W64" i="9" s="1"/>
  <c r="G103" i="22"/>
  <c r="U97" i="22"/>
  <c r="U94" i="20"/>
  <c r="R76" i="20" s="1"/>
  <c r="E95" i="20"/>
  <c r="E77" i="20" s="1"/>
  <c r="F77" i="20" s="1"/>
  <c r="V90" i="20"/>
  <c r="Z90" i="20"/>
  <c r="W90" i="20"/>
  <c r="AB90" i="20"/>
  <c r="O170" i="20"/>
  <c r="B173" i="20"/>
  <c r="F168" i="20"/>
  <c r="V163" i="20" s="1"/>
  <c r="O168" i="20"/>
  <c r="G168" i="20" s="1"/>
  <c r="O177" i="20"/>
  <c r="O178" i="20"/>
  <c r="K131" i="20"/>
  <c r="N131" i="20" s="1"/>
  <c r="L131" i="20"/>
  <c r="G149" i="20"/>
  <c r="F149" i="20"/>
  <c r="R145" i="20"/>
  <c r="V129" i="20"/>
  <c r="V128" i="20"/>
  <c r="V127" i="20"/>
  <c r="K137" i="20"/>
  <c r="H128" i="20"/>
  <c r="G128" i="20"/>
  <c r="V131" i="20"/>
  <c r="K141" i="20"/>
  <c r="V132" i="20"/>
  <c r="K142" i="20"/>
  <c r="V130" i="20"/>
  <c r="K140" i="20"/>
  <c r="V132" i="19"/>
  <c r="K142" i="19"/>
  <c r="V131" i="19"/>
  <c r="K141" i="19"/>
  <c r="V130" i="19"/>
  <c r="K140" i="19"/>
  <c r="V129" i="19"/>
  <c r="V128" i="19"/>
  <c r="V127" i="19"/>
  <c r="H128" i="19"/>
  <c r="G128" i="19"/>
  <c r="O164" i="19"/>
  <c r="O165" i="19"/>
  <c r="C168" i="19"/>
  <c r="S163" i="19" s="1"/>
  <c r="D109" i="13"/>
  <c r="X99" i="13" s="1"/>
  <c r="T111" i="13"/>
  <c r="V127" i="13" s="1"/>
  <c r="L109" i="14"/>
  <c r="M109" i="14" s="1"/>
  <c r="D110" i="14"/>
  <c r="N90" i="19"/>
  <c r="J90" i="19" s="1"/>
  <c r="I131" i="19"/>
  <c r="B149" i="19"/>
  <c r="V128" i="18"/>
  <c r="V127" i="18"/>
  <c r="V130" i="18"/>
  <c r="V131" i="18"/>
  <c r="V132" i="18"/>
  <c r="V129" i="18"/>
  <c r="H94" i="17"/>
  <c r="U94" i="17"/>
  <c r="E95" i="17"/>
  <c r="V126" i="17"/>
  <c r="H127" i="17"/>
  <c r="G127" i="17"/>
  <c r="V128" i="17"/>
  <c r="V129" i="17"/>
  <c r="K139" i="17"/>
  <c r="V130" i="17"/>
  <c r="K140" i="17"/>
  <c r="V131" i="17"/>
  <c r="K141" i="17"/>
  <c r="V127" i="17"/>
  <c r="E61" i="16"/>
  <c r="M61" i="16" s="1"/>
  <c r="G61" i="16"/>
  <c r="O61" i="16" s="1"/>
  <c r="K61" i="16"/>
  <c r="C62" i="16"/>
  <c r="O32" i="16"/>
  <c r="G33" i="16"/>
  <c r="M33" i="16"/>
  <c r="E34" i="16"/>
  <c r="E60" i="15"/>
  <c r="M60" i="15" s="1"/>
  <c r="G60" i="15"/>
  <c r="O60" i="15" s="1"/>
  <c r="K60" i="15"/>
  <c r="C61" i="15"/>
  <c r="O31" i="15"/>
  <c r="G32" i="15"/>
  <c r="M32" i="15"/>
  <c r="E33" i="15"/>
  <c r="AA143" i="19"/>
  <c r="AD135" i="19"/>
  <c r="AC135" i="19"/>
  <c r="AC143" i="19" s="1"/>
  <c r="AC133" i="19"/>
  <c r="AC139" i="19" s="1"/>
  <c r="AC132" i="19"/>
  <c r="AC138" i="19" s="1"/>
  <c r="AC131" i="19"/>
  <c r="AC137" i="19" s="1"/>
  <c r="E60" i="14"/>
  <c r="M60" i="14" s="1"/>
  <c r="G60" i="14"/>
  <c r="K60" i="14"/>
  <c r="C61" i="14"/>
  <c r="O32" i="14"/>
  <c r="G33" i="14"/>
  <c r="M33" i="14"/>
  <c r="E34" i="14"/>
  <c r="H49" i="35"/>
  <c r="Y49" i="35" s="1"/>
  <c r="S17" i="35"/>
  <c r="F80" i="35"/>
  <c r="W80" i="35" s="1"/>
  <c r="Y44" i="35"/>
  <c r="F75" i="35"/>
  <c r="W75" i="35" s="1"/>
  <c r="F76" i="35"/>
  <c r="F77" i="35"/>
  <c r="W77" i="35" s="1"/>
  <c r="B14" i="36"/>
  <c r="K14" i="36" s="1"/>
  <c r="S72" i="19"/>
  <c r="I72" i="19"/>
  <c r="S73" i="19"/>
  <c r="I73" i="19"/>
  <c r="S74" i="19"/>
  <c r="I74" i="19"/>
  <c r="B13" i="28"/>
  <c r="B13" i="22"/>
  <c r="B13" i="23"/>
  <c r="B9" i="13"/>
  <c r="B9" i="15"/>
  <c r="B9" i="16"/>
  <c r="B33" i="33"/>
  <c r="J33" i="33" s="1"/>
  <c r="B9" i="14"/>
  <c r="B25" i="21"/>
  <c r="B26" i="21"/>
  <c r="B27" i="21"/>
  <c r="B9" i="25"/>
  <c r="B29" i="31"/>
  <c r="J29" i="31" s="1"/>
  <c r="B33" i="31"/>
  <c r="J33" i="31" s="1"/>
  <c r="B29" i="32"/>
  <c r="J29" i="32" s="1"/>
  <c r="B33" i="32"/>
  <c r="J33" i="32" s="1"/>
  <c r="B13" i="35"/>
  <c r="B29" i="33"/>
  <c r="J29" i="33" s="1"/>
  <c r="O30" i="13"/>
  <c r="C59" i="13"/>
  <c r="G31" i="13"/>
  <c r="M31" i="13"/>
  <c r="E32" i="13"/>
  <c r="B141" i="31"/>
  <c r="J141" i="31" s="1"/>
  <c r="L141" i="31"/>
  <c r="D142" i="31"/>
  <c r="A141" i="31"/>
  <c r="I141" i="31" s="1"/>
  <c r="B24" i="27"/>
  <c r="B25" i="27"/>
  <c r="B26" i="27"/>
  <c r="J163" i="30"/>
  <c r="B29" i="34"/>
  <c r="J29" i="34" s="1"/>
  <c r="B33" i="34"/>
  <c r="J33" i="34" s="1"/>
  <c r="B15" i="35"/>
  <c r="S15" i="35" s="1"/>
  <c r="J160" i="9"/>
  <c r="J68" i="34"/>
  <c r="B72" i="34"/>
  <c r="J72" i="34" s="1"/>
  <c r="J67" i="34"/>
  <c r="Y61" i="35"/>
  <c r="D75" i="35"/>
  <c r="U75" i="35" s="1"/>
  <c r="D76" i="35"/>
  <c r="B88" i="30"/>
  <c r="J88" i="30" s="1"/>
  <c r="J84" i="30"/>
  <c r="F130" i="30"/>
  <c r="J113" i="30"/>
  <c r="B86" i="30"/>
  <c r="J82" i="30"/>
  <c r="P78" i="38"/>
  <c r="P77" i="38"/>
  <c r="O77" i="38"/>
  <c r="O78" i="38"/>
  <c r="B124" i="24"/>
  <c r="K119" i="24"/>
  <c r="B15" i="36"/>
  <c r="K15" i="36" s="1"/>
  <c r="Y52" i="35"/>
  <c r="M58" i="13"/>
  <c r="U106" i="33"/>
  <c r="V103" i="33" s="1"/>
  <c r="V114" i="33" s="1"/>
  <c r="U106" i="31"/>
  <c r="V103" i="31" s="1"/>
  <c r="V114" i="31" s="1"/>
  <c r="U106" i="32"/>
  <c r="V103" i="32" s="1"/>
  <c r="V114" i="32" s="1"/>
  <c r="O58" i="13"/>
  <c r="G72" i="13"/>
  <c r="K138" i="32"/>
  <c r="K138" i="31"/>
  <c r="K138" i="33"/>
  <c r="J170" i="13"/>
  <c r="K170" i="13" s="1"/>
  <c r="J123" i="13"/>
  <c r="G138" i="32"/>
  <c r="O138" i="32" s="1"/>
  <c r="P138" i="32" s="1"/>
  <c r="N138" i="32"/>
  <c r="G138" i="31"/>
  <c r="O138" i="31" s="1"/>
  <c r="P138" i="31" s="1"/>
  <c r="N138" i="31"/>
  <c r="N90" i="17"/>
  <c r="J90" i="17" s="1"/>
  <c r="I130" i="17"/>
  <c r="B148" i="17"/>
  <c r="O163" i="17"/>
  <c r="O164" i="17"/>
  <c r="C167" i="17"/>
  <c r="S162" i="17" s="1"/>
  <c r="S90" i="17"/>
  <c r="L90" i="17"/>
  <c r="G90" i="17"/>
  <c r="F90" i="17"/>
  <c r="E93" i="19"/>
  <c r="U92" i="19"/>
  <c r="R74" i="19" s="1"/>
  <c r="G105" i="28"/>
  <c r="G106" i="28" s="1"/>
  <c r="U103" i="28"/>
  <c r="U105" i="28" s="1"/>
  <c r="U106" i="28" s="1"/>
  <c r="AD131" i="19"/>
  <c r="F138" i="33"/>
  <c r="K55" i="38"/>
  <c r="B57" i="38"/>
  <c r="B142" i="34" l="1"/>
  <c r="D143" i="34"/>
  <c r="A142" i="34"/>
  <c r="L142" i="34"/>
  <c r="J141" i="34"/>
  <c r="I141" i="34"/>
  <c r="B143" i="33"/>
  <c r="J143" i="33" s="1"/>
  <c r="L143" i="33"/>
  <c r="D144" i="33"/>
  <c r="A143" i="33"/>
  <c r="I143" i="33" s="1"/>
  <c r="B153" i="33"/>
  <c r="C153" i="33" s="1"/>
  <c r="J151" i="33"/>
  <c r="J153" i="33" s="1"/>
  <c r="K153" i="33" s="1"/>
  <c r="B143" i="32"/>
  <c r="J143" i="32" s="1"/>
  <c r="A143" i="32"/>
  <c r="I143" i="32" s="1"/>
  <c r="L143" i="32"/>
  <c r="D144" i="32"/>
  <c r="B49" i="27"/>
  <c r="C49" i="27"/>
  <c r="N24" i="27"/>
  <c r="AG92" i="7"/>
  <c r="B114" i="9"/>
  <c r="F114" i="9" s="1"/>
  <c r="B38" i="11"/>
  <c r="B38" i="12"/>
  <c r="B88" i="12" s="1"/>
  <c r="AC92" i="7"/>
  <c r="AA92" i="7" s="1"/>
  <c r="F38" i="6"/>
  <c r="P38" i="6" s="1"/>
  <c r="R46" i="18"/>
  <c r="B54" i="18"/>
  <c r="S72" i="17"/>
  <c r="I72" i="17"/>
  <c r="S73" i="17"/>
  <c r="I73" i="17"/>
  <c r="S74" i="17"/>
  <c r="I74" i="17"/>
  <c r="S75" i="17"/>
  <c r="I75" i="17"/>
  <c r="S77" i="17"/>
  <c r="I77" i="17"/>
  <c r="S79" i="17"/>
  <c r="I79" i="17"/>
  <c r="S80" i="17"/>
  <c r="I80" i="17"/>
  <c r="S81" i="17"/>
  <c r="I81" i="17"/>
  <c r="S82" i="17"/>
  <c r="I82" i="17"/>
  <c r="S83" i="17"/>
  <c r="I83" i="17"/>
  <c r="J21" i="25"/>
  <c r="D28" i="25"/>
  <c r="S76" i="17"/>
  <c r="I76" i="17"/>
  <c r="S72" i="20"/>
  <c r="I72" i="20"/>
  <c r="S73" i="20"/>
  <c r="I73" i="20"/>
  <c r="S74" i="20"/>
  <c r="I74" i="20"/>
  <c r="S75" i="20"/>
  <c r="I75" i="20"/>
  <c r="S76" i="20"/>
  <c r="I76" i="20"/>
  <c r="S77" i="20"/>
  <c r="I77" i="20"/>
  <c r="S81" i="20"/>
  <c r="I81" i="20"/>
  <c r="S82" i="20"/>
  <c r="I82" i="20"/>
  <c r="S83" i="20"/>
  <c r="I83" i="20"/>
  <c r="W65" i="9"/>
  <c r="X64" i="9"/>
  <c r="X65" i="9" s="1"/>
  <c r="G105" i="22"/>
  <c r="G106" i="22" s="1"/>
  <c r="U103" i="22"/>
  <c r="U105" i="22" s="1"/>
  <c r="U106" i="22" s="1"/>
  <c r="U95" i="20"/>
  <c r="R77" i="20" s="1"/>
  <c r="E96" i="20"/>
  <c r="D173" i="20"/>
  <c r="R168" i="20"/>
  <c r="T168" i="20" s="1"/>
  <c r="H168" i="20"/>
  <c r="W163" i="20"/>
  <c r="X163" i="20" s="1"/>
  <c r="M131" i="20"/>
  <c r="M137" i="20" s="1"/>
  <c r="O131" i="20"/>
  <c r="W145" i="20"/>
  <c r="V145" i="20"/>
  <c r="AE131" i="20"/>
  <c r="AA139" i="20"/>
  <c r="AA138" i="20"/>
  <c r="W127" i="20"/>
  <c r="X127" i="20"/>
  <c r="AA137" i="20"/>
  <c r="AA141" i="20"/>
  <c r="AA142" i="20"/>
  <c r="AA140" i="20"/>
  <c r="AA142" i="19"/>
  <c r="AA141" i="19"/>
  <c r="AA140" i="19"/>
  <c r="AA139" i="19"/>
  <c r="AA138" i="19"/>
  <c r="W127" i="19"/>
  <c r="X127" i="19"/>
  <c r="AA137" i="19"/>
  <c r="O170" i="19"/>
  <c r="B173" i="19"/>
  <c r="F168" i="19"/>
  <c r="V163" i="19" s="1"/>
  <c r="O168" i="19"/>
  <c r="G168" i="19" s="1"/>
  <c r="O177" i="19"/>
  <c r="O178" i="19"/>
  <c r="P109" i="14"/>
  <c r="L119" i="14" s="1"/>
  <c r="K131" i="19"/>
  <c r="L131" i="19"/>
  <c r="G149" i="19"/>
  <c r="F149" i="19"/>
  <c r="R145" i="19"/>
  <c r="U95" i="17"/>
  <c r="R77" i="17" s="1"/>
  <c r="H95" i="17"/>
  <c r="E96" i="17"/>
  <c r="W126" i="17"/>
  <c r="AA136" i="17"/>
  <c r="X126" i="17"/>
  <c r="AA138" i="17"/>
  <c r="AA139" i="17"/>
  <c r="AA140" i="17"/>
  <c r="AA141" i="17"/>
  <c r="AA137" i="17"/>
  <c r="E62" i="16"/>
  <c r="M62" i="16" s="1"/>
  <c r="G62" i="16"/>
  <c r="O62" i="16" s="1"/>
  <c r="K62" i="16"/>
  <c r="C63" i="16"/>
  <c r="O33" i="16"/>
  <c r="G34" i="16"/>
  <c r="M34" i="16"/>
  <c r="E35" i="16"/>
  <c r="E61" i="15"/>
  <c r="M61" i="15" s="1"/>
  <c r="G61" i="15"/>
  <c r="O61" i="15" s="1"/>
  <c r="K61" i="15"/>
  <c r="C62" i="15"/>
  <c r="O32" i="15"/>
  <c r="G33" i="15"/>
  <c r="E34" i="15"/>
  <c r="M33" i="15"/>
  <c r="O60" i="14"/>
  <c r="G74" i="14"/>
  <c r="O73" i="14" s="1"/>
  <c r="E61" i="14"/>
  <c r="M61" i="14" s="1"/>
  <c r="G61" i="14"/>
  <c r="K61" i="14"/>
  <c r="C62" i="14"/>
  <c r="O33" i="14"/>
  <c r="G34" i="14"/>
  <c r="M34" i="14"/>
  <c r="E35" i="14"/>
  <c r="M75" i="35"/>
  <c r="N75" i="35" s="1"/>
  <c r="F79" i="35"/>
  <c r="W79" i="35" s="1"/>
  <c r="W76" i="35"/>
  <c r="AD75" i="35" s="1"/>
  <c r="AE75" i="35" s="1"/>
  <c r="V72" i="19"/>
  <c r="B129" i="19"/>
  <c r="B110" i="13"/>
  <c r="B111" i="14"/>
  <c r="B72" i="19"/>
  <c r="V73" i="19"/>
  <c r="B130" i="19"/>
  <c r="B111" i="13"/>
  <c r="B112" i="14"/>
  <c r="B73" i="19"/>
  <c r="V74" i="19"/>
  <c r="B131" i="19"/>
  <c r="B113" i="14"/>
  <c r="B112" i="13"/>
  <c r="B74" i="19"/>
  <c r="T13" i="28"/>
  <c r="B46" i="28"/>
  <c r="C46" i="28"/>
  <c r="T13" i="22"/>
  <c r="C48" i="22"/>
  <c r="B48" i="22"/>
  <c r="T13" i="23"/>
  <c r="C48" i="23"/>
  <c r="B48" i="23"/>
  <c r="F29" i="13"/>
  <c r="J9" i="13"/>
  <c r="F29" i="15"/>
  <c r="J9" i="15"/>
  <c r="F30" i="16"/>
  <c r="J9" i="16"/>
  <c r="F30" i="14"/>
  <c r="J9" i="14"/>
  <c r="F25" i="21"/>
  <c r="J25" i="21"/>
  <c r="S31" i="21"/>
  <c r="B62" i="21"/>
  <c r="F62" i="21" s="1"/>
  <c r="N62" i="21" s="1"/>
  <c r="T68" i="21"/>
  <c r="V83" i="21"/>
  <c r="V70" i="21" s="1"/>
  <c r="X70" i="21" s="1"/>
  <c r="F26" i="21"/>
  <c r="J26" i="21"/>
  <c r="S37" i="21"/>
  <c r="F27" i="21"/>
  <c r="J27" i="21"/>
  <c r="B28" i="21"/>
  <c r="S43" i="21"/>
  <c r="E28" i="25"/>
  <c r="J9" i="25"/>
  <c r="S13" i="35"/>
  <c r="E59" i="13"/>
  <c r="G59" i="13"/>
  <c r="K59" i="13"/>
  <c r="C139" i="33"/>
  <c r="F139" i="33" s="1"/>
  <c r="K105" i="13"/>
  <c r="C139" i="32"/>
  <c r="F139" i="32" s="1"/>
  <c r="C139" i="31"/>
  <c r="F139" i="31" s="1"/>
  <c r="O31" i="13"/>
  <c r="C60" i="13"/>
  <c r="G32" i="13"/>
  <c r="M32" i="13"/>
  <c r="E33" i="13"/>
  <c r="B142" i="31"/>
  <c r="J142" i="31" s="1"/>
  <c r="L142" i="31"/>
  <c r="D143" i="31"/>
  <c r="A142" i="31"/>
  <c r="I142" i="31" s="1"/>
  <c r="J24" i="27"/>
  <c r="S22" i="27"/>
  <c r="F25" i="27"/>
  <c r="J25" i="27"/>
  <c r="S29" i="27"/>
  <c r="F26" i="27"/>
  <c r="J26" i="27"/>
  <c r="S36" i="27"/>
  <c r="U76" i="35"/>
  <c r="U80" i="35" s="1"/>
  <c r="D79" i="35"/>
  <c r="U79" i="35" s="1"/>
  <c r="F138" i="30"/>
  <c r="N138" i="30" s="1"/>
  <c r="J164" i="30" s="1"/>
  <c r="J173" i="30" s="1"/>
  <c r="F136" i="30"/>
  <c r="N130" i="30"/>
  <c r="B90" i="30"/>
  <c r="J86" i="30"/>
  <c r="J90" i="30" s="1"/>
  <c r="K124" i="24"/>
  <c r="B162" i="24"/>
  <c r="O71" i="13"/>
  <c r="W111" i="13"/>
  <c r="N170" i="13"/>
  <c r="O170" i="13"/>
  <c r="K154" i="13"/>
  <c r="K123" i="13"/>
  <c r="K130" i="17"/>
  <c r="L130" i="17"/>
  <c r="G148" i="17"/>
  <c r="F148" i="17"/>
  <c r="R144" i="17"/>
  <c r="O169" i="17"/>
  <c r="B172" i="17"/>
  <c r="F167" i="17"/>
  <c r="V162" i="17" s="1"/>
  <c r="O167" i="17"/>
  <c r="G167" i="17" s="1"/>
  <c r="O176" i="17"/>
  <c r="O177" i="17"/>
  <c r="Z90" i="17"/>
  <c r="V90" i="17"/>
  <c r="W90" i="17"/>
  <c r="AB90" i="17"/>
  <c r="E75" i="19"/>
  <c r="F75" i="19" s="1"/>
  <c r="E94" i="19"/>
  <c r="U93" i="19"/>
  <c r="R75" i="19" s="1"/>
  <c r="G138" i="33"/>
  <c r="O138" i="33" s="1"/>
  <c r="P138" i="33" s="1"/>
  <c r="N138" i="33"/>
  <c r="E79" i="38"/>
  <c r="K57" i="38"/>
  <c r="N79" i="38" s="1"/>
  <c r="B143" i="34" l="1"/>
  <c r="L143" i="34"/>
  <c r="A143" i="34"/>
  <c r="D144" i="34"/>
  <c r="J142" i="34"/>
  <c r="I142" i="34"/>
  <c r="B144" i="33"/>
  <c r="J144" i="33" s="1"/>
  <c r="L144" i="33"/>
  <c r="D145" i="33"/>
  <c r="A144" i="33"/>
  <c r="I144" i="33" s="1"/>
  <c r="B144" i="32"/>
  <c r="J144" i="32" s="1"/>
  <c r="L144" i="32"/>
  <c r="D145" i="32"/>
  <c r="A144" i="32"/>
  <c r="I144" i="32" s="1"/>
  <c r="C31" i="27"/>
  <c r="J49" i="27"/>
  <c r="D49" i="27"/>
  <c r="L49" i="27" s="1"/>
  <c r="E49" i="27"/>
  <c r="M49" i="27" s="1"/>
  <c r="K49" i="27"/>
  <c r="AA113" i="7"/>
  <c r="AE92" i="7"/>
  <c r="AG93" i="7"/>
  <c r="F158" i="9"/>
  <c r="H114" i="9"/>
  <c r="B194" i="9"/>
  <c r="B87" i="11"/>
  <c r="N38" i="11"/>
  <c r="B56" i="18"/>
  <c r="R54" i="18"/>
  <c r="T107" i="13" s="1"/>
  <c r="B107" i="13"/>
  <c r="B108" i="14"/>
  <c r="B128" i="17"/>
  <c r="B72" i="17"/>
  <c r="V72" i="17"/>
  <c r="C91" i="17"/>
  <c r="B73" i="17"/>
  <c r="B129" i="17"/>
  <c r="V73" i="17"/>
  <c r="C92" i="17"/>
  <c r="B74" i="17"/>
  <c r="B130" i="17"/>
  <c r="V74" i="17"/>
  <c r="C93" i="17"/>
  <c r="B131" i="17"/>
  <c r="V75" i="17"/>
  <c r="B75" i="17"/>
  <c r="C94" i="17"/>
  <c r="B77" i="17"/>
  <c r="V77" i="17"/>
  <c r="C96" i="17"/>
  <c r="B79" i="17"/>
  <c r="N98" i="17" s="1"/>
  <c r="J98" i="17" s="1"/>
  <c r="L99" i="17" s="1"/>
  <c r="V79" i="17"/>
  <c r="B80" i="17"/>
  <c r="N99" i="17" s="1"/>
  <c r="V80" i="17"/>
  <c r="B81" i="17"/>
  <c r="V81" i="17"/>
  <c r="B82" i="17"/>
  <c r="V82" i="17"/>
  <c r="B83" i="17"/>
  <c r="V83" i="17"/>
  <c r="B126" i="25"/>
  <c r="C126" i="25" s="1"/>
  <c r="L123" i="25" s="1"/>
  <c r="F28" i="25"/>
  <c r="L28" i="25"/>
  <c r="D29" i="25"/>
  <c r="V76" i="17"/>
  <c r="B76" i="17"/>
  <c r="L162" i="17"/>
  <c r="B132" i="17"/>
  <c r="C95" i="17"/>
  <c r="B72" i="20"/>
  <c r="B129" i="20"/>
  <c r="V72" i="20"/>
  <c r="C91" i="20"/>
  <c r="B73" i="20"/>
  <c r="B130" i="20"/>
  <c r="V73" i="20"/>
  <c r="C92" i="20"/>
  <c r="B74" i="20"/>
  <c r="B131" i="20"/>
  <c r="V74" i="20"/>
  <c r="C93" i="20"/>
  <c r="B75" i="20"/>
  <c r="B132" i="20"/>
  <c r="V75" i="20"/>
  <c r="C94" i="20"/>
  <c r="B76" i="20"/>
  <c r="L163" i="20"/>
  <c r="B133" i="20"/>
  <c r="V76" i="20"/>
  <c r="C95" i="20"/>
  <c r="B77" i="20"/>
  <c r="V77" i="20"/>
  <c r="C96" i="20"/>
  <c r="B81" i="20"/>
  <c r="V81" i="20"/>
  <c r="B82" i="20"/>
  <c r="V82" i="20"/>
  <c r="B83" i="20"/>
  <c r="V83" i="20"/>
  <c r="E78" i="20"/>
  <c r="F78" i="20" s="1"/>
  <c r="U96" i="20"/>
  <c r="R78" i="20" s="1"/>
  <c r="E97" i="20"/>
  <c r="D173" i="19"/>
  <c r="R168" i="19"/>
  <c r="T168" i="19" s="1"/>
  <c r="H168" i="19"/>
  <c r="W163" i="19"/>
  <c r="X163" i="19" s="1"/>
  <c r="K137" i="19"/>
  <c r="N131" i="19"/>
  <c r="M131" i="19"/>
  <c r="M137" i="19" s="1"/>
  <c r="O131" i="19"/>
  <c r="AE131" i="19"/>
  <c r="W145" i="19"/>
  <c r="V145" i="19"/>
  <c r="E78" i="17"/>
  <c r="F78" i="17" s="1"/>
  <c r="U96" i="17"/>
  <c r="H96" i="17"/>
  <c r="B34" i="17" s="1"/>
  <c r="G97" i="17"/>
  <c r="E63" i="16"/>
  <c r="M63" i="16" s="1"/>
  <c r="G63" i="16"/>
  <c r="O63" i="16" s="1"/>
  <c r="K63" i="16"/>
  <c r="C64" i="16"/>
  <c r="O34" i="16"/>
  <c r="G35" i="16"/>
  <c r="M35" i="16"/>
  <c r="E36" i="16"/>
  <c r="E62" i="15"/>
  <c r="M62" i="15" s="1"/>
  <c r="G62" i="15"/>
  <c r="O62" i="15" s="1"/>
  <c r="K62" i="15"/>
  <c r="C63" i="15"/>
  <c r="O33" i="15"/>
  <c r="G34" i="15"/>
  <c r="E35" i="15"/>
  <c r="M34" i="15"/>
  <c r="O61" i="14"/>
  <c r="G75" i="14"/>
  <c r="O74" i="14" s="1"/>
  <c r="E62" i="14"/>
  <c r="M62" i="14" s="1"/>
  <c r="G62" i="14"/>
  <c r="K62" i="14"/>
  <c r="C63" i="14"/>
  <c r="O34" i="14"/>
  <c r="G35" i="14"/>
  <c r="M35" i="14"/>
  <c r="E36" i="14"/>
  <c r="H129" i="19"/>
  <c r="G129" i="19"/>
  <c r="R128" i="19"/>
  <c r="D110" i="13"/>
  <c r="X100" i="13" s="1"/>
  <c r="T112" i="13"/>
  <c r="V128" i="13" s="1"/>
  <c r="D111" i="14"/>
  <c r="L110" i="14"/>
  <c r="M110" i="14" s="1"/>
  <c r="N91" i="19"/>
  <c r="J91" i="19" s="1"/>
  <c r="I132" i="19"/>
  <c r="B150" i="19"/>
  <c r="G130" i="19"/>
  <c r="H130" i="19"/>
  <c r="R129" i="19"/>
  <c r="D111" i="13"/>
  <c r="X101" i="13" s="1"/>
  <c r="T113" i="13"/>
  <c r="V129" i="13" s="1"/>
  <c r="L111" i="14"/>
  <c r="M111" i="14" s="1"/>
  <c r="D112" i="14"/>
  <c r="N92" i="19"/>
  <c r="J92" i="19" s="1"/>
  <c r="I133" i="19"/>
  <c r="B151" i="19"/>
  <c r="H131" i="19"/>
  <c r="G131" i="19"/>
  <c r="R130" i="19"/>
  <c r="D113" i="14"/>
  <c r="L112" i="14"/>
  <c r="M112" i="14" s="1"/>
  <c r="T114" i="13"/>
  <c r="V130" i="13" s="1"/>
  <c r="D112" i="13"/>
  <c r="X102" i="13" s="1"/>
  <c r="N93" i="19"/>
  <c r="J93" i="19" s="1"/>
  <c r="B152" i="19"/>
  <c r="T46" i="28"/>
  <c r="B47" i="28"/>
  <c r="U46" i="28"/>
  <c r="C47" i="28"/>
  <c r="U48" i="22"/>
  <c r="C49" i="22"/>
  <c r="T48" i="22"/>
  <c r="B49" i="22"/>
  <c r="U48" i="23"/>
  <c r="C49" i="23"/>
  <c r="T48" i="23"/>
  <c r="B49" i="23"/>
  <c r="B58" i="13"/>
  <c r="B118" i="13"/>
  <c r="F30" i="13"/>
  <c r="N29" i="13"/>
  <c r="F30" i="15"/>
  <c r="N29" i="15"/>
  <c r="B59" i="15"/>
  <c r="F31" i="16"/>
  <c r="N30" i="16"/>
  <c r="B60" i="16"/>
  <c r="B119" i="14"/>
  <c r="F31" i="14"/>
  <c r="N30" i="14"/>
  <c r="B59" i="14"/>
  <c r="N25" i="21"/>
  <c r="B52" i="21"/>
  <c r="C52" i="21" s="1"/>
  <c r="J62" i="21"/>
  <c r="T72" i="21"/>
  <c r="V87" i="21" s="1"/>
  <c r="N26" i="21"/>
  <c r="B53" i="21"/>
  <c r="C53" i="21" s="1"/>
  <c r="N27" i="21"/>
  <c r="B54" i="21"/>
  <c r="C54" i="21" s="1"/>
  <c r="F28" i="21"/>
  <c r="J28" i="21"/>
  <c r="S50" i="21"/>
  <c r="J123" i="25"/>
  <c r="E29" i="25"/>
  <c r="M28" i="25"/>
  <c r="M59" i="13"/>
  <c r="U107" i="33"/>
  <c r="V107" i="33" s="1"/>
  <c r="U107" i="31"/>
  <c r="V107" i="31" s="1"/>
  <c r="U107" i="32"/>
  <c r="V107" i="32" s="1"/>
  <c r="O59" i="13"/>
  <c r="W112" i="13" s="1"/>
  <c r="G73" i="13"/>
  <c r="O72" i="13" s="1"/>
  <c r="K139" i="33"/>
  <c r="K139" i="32"/>
  <c r="K139" i="31"/>
  <c r="G139" i="33"/>
  <c r="O139" i="33" s="1"/>
  <c r="P139" i="33" s="1"/>
  <c r="N139" i="33"/>
  <c r="J171" i="13"/>
  <c r="K171" i="13" s="1"/>
  <c r="J124" i="13"/>
  <c r="G139" i="32"/>
  <c r="O139" i="32" s="1"/>
  <c r="P139" i="32" s="1"/>
  <c r="N139" i="32"/>
  <c r="G139" i="31"/>
  <c r="O139" i="31" s="1"/>
  <c r="P139" i="31" s="1"/>
  <c r="N139" i="31"/>
  <c r="E60" i="13"/>
  <c r="G60" i="13"/>
  <c r="K60" i="13"/>
  <c r="C140" i="32"/>
  <c r="F140" i="32" s="1"/>
  <c r="K106" i="13"/>
  <c r="C140" i="31"/>
  <c r="F140" i="31" s="1"/>
  <c r="C140" i="33"/>
  <c r="F140" i="33" s="1"/>
  <c r="O32" i="13"/>
  <c r="C61" i="13"/>
  <c r="G33" i="13"/>
  <c r="M33" i="13"/>
  <c r="E34" i="13"/>
  <c r="B143" i="31"/>
  <c r="J143" i="31" s="1"/>
  <c r="L143" i="31"/>
  <c r="D144" i="31"/>
  <c r="A143" i="31"/>
  <c r="I143" i="31" s="1"/>
  <c r="B50" i="27"/>
  <c r="C50" i="27"/>
  <c r="N25" i="27"/>
  <c r="N26" i="27"/>
  <c r="B51" i="27"/>
  <c r="C51" i="27" s="1"/>
  <c r="N136" i="30"/>
  <c r="F51" i="39" s="1"/>
  <c r="B55" i="39" s="1"/>
  <c r="F144" i="30"/>
  <c r="S109" i="35"/>
  <c r="C84" i="35" s="1"/>
  <c r="T84" i="35" s="1"/>
  <c r="V115" i="35"/>
  <c r="K162" i="24"/>
  <c r="B167" i="24"/>
  <c r="B179" i="24"/>
  <c r="B191" i="24"/>
  <c r="O154" i="13"/>
  <c r="N154" i="13"/>
  <c r="N123" i="13"/>
  <c r="O123" i="13"/>
  <c r="K136" i="17"/>
  <c r="N130" i="17"/>
  <c r="M130" i="17"/>
  <c r="M136" i="17" s="1"/>
  <c r="O130" i="17"/>
  <c r="W144" i="17"/>
  <c r="V144" i="17"/>
  <c r="AE130" i="17"/>
  <c r="D172" i="17"/>
  <c r="R167" i="17"/>
  <c r="T167" i="17" s="1"/>
  <c r="H167" i="17"/>
  <c r="W162" i="17"/>
  <c r="X162" i="17" s="1"/>
  <c r="I75" i="19"/>
  <c r="S75" i="19"/>
  <c r="E76" i="19"/>
  <c r="F76" i="19" s="1"/>
  <c r="E95" i="19"/>
  <c r="U94" i="19"/>
  <c r="R76" i="19" s="1"/>
  <c r="E80" i="38"/>
  <c r="N80" i="38"/>
  <c r="J143" i="34" l="1"/>
  <c r="I143" i="34"/>
  <c r="B144" i="34"/>
  <c r="D145" i="34"/>
  <c r="L144" i="34"/>
  <c r="A144" i="34"/>
  <c r="B145" i="33"/>
  <c r="J145" i="33" s="1"/>
  <c r="L145" i="33"/>
  <c r="D146" i="33"/>
  <c r="A145" i="33"/>
  <c r="I145" i="33" s="1"/>
  <c r="B145" i="32"/>
  <c r="J145" i="32" s="1"/>
  <c r="L145" i="32"/>
  <c r="A145" i="32"/>
  <c r="I145" i="32" s="1"/>
  <c r="D31" i="27"/>
  <c r="E31" i="27" s="1"/>
  <c r="K31" i="27"/>
  <c r="L31" i="27" s="1"/>
  <c r="M31" i="27" s="1"/>
  <c r="AA110" i="7"/>
  <c r="AE93" i="7"/>
  <c r="J161" i="9"/>
  <c r="H161" i="9"/>
  <c r="H158" i="9"/>
  <c r="H160" i="9" s="1"/>
  <c r="J114" i="9"/>
  <c r="J158" i="9" s="1"/>
  <c r="C200" i="9"/>
  <c r="B198" i="9"/>
  <c r="N87" i="11"/>
  <c r="B66" i="18"/>
  <c r="R56" i="18"/>
  <c r="C86" i="18"/>
  <c r="G128" i="17"/>
  <c r="H128" i="17"/>
  <c r="R127" i="17"/>
  <c r="N91" i="17"/>
  <c r="J91" i="17" s="1"/>
  <c r="I131" i="17"/>
  <c r="B149" i="17"/>
  <c r="F91" i="17"/>
  <c r="S91" i="17"/>
  <c r="L91" i="17"/>
  <c r="G91" i="17"/>
  <c r="N92" i="17"/>
  <c r="J92" i="17" s="1"/>
  <c r="I132" i="17"/>
  <c r="B150" i="17"/>
  <c r="G129" i="17"/>
  <c r="H129" i="17"/>
  <c r="R128" i="17"/>
  <c r="S92" i="17"/>
  <c r="L92" i="17"/>
  <c r="G92" i="17"/>
  <c r="F92" i="17"/>
  <c r="N93" i="17"/>
  <c r="J93" i="17" s="1"/>
  <c r="B151" i="17"/>
  <c r="G130" i="17"/>
  <c r="H130" i="17"/>
  <c r="R129" i="17"/>
  <c r="G93" i="17"/>
  <c r="S93" i="17"/>
  <c r="L93" i="17"/>
  <c r="F93" i="17"/>
  <c r="H131" i="17"/>
  <c r="G131" i="17"/>
  <c r="R130" i="17"/>
  <c r="N94" i="17"/>
  <c r="J94" i="17" s="1"/>
  <c r="B152" i="17"/>
  <c r="G94" i="17"/>
  <c r="S94" i="17"/>
  <c r="L94" i="17"/>
  <c r="F94" i="17"/>
  <c r="N96" i="17"/>
  <c r="J96" i="17" s="1"/>
  <c r="L97" i="17" s="1"/>
  <c r="I133" i="17"/>
  <c r="B154" i="17"/>
  <c r="S96" i="17"/>
  <c r="G96" i="17"/>
  <c r="F96" i="17"/>
  <c r="K155" i="25"/>
  <c r="M155" i="25" s="1"/>
  <c r="J155" i="25"/>
  <c r="L155" i="25" s="1"/>
  <c r="C58" i="25"/>
  <c r="N28" i="25"/>
  <c r="B58" i="25"/>
  <c r="B127" i="25"/>
  <c r="C127" i="25" s="1"/>
  <c r="L124" i="25" s="1"/>
  <c r="F29" i="25"/>
  <c r="L29" i="25"/>
  <c r="D30" i="25"/>
  <c r="N95" i="17"/>
  <c r="J95" i="17" s="1"/>
  <c r="L96" i="17" s="1"/>
  <c r="B153" i="17"/>
  <c r="L163" i="17"/>
  <c r="L164" i="17"/>
  <c r="L167" i="17" s="1"/>
  <c r="G166" i="17" s="1"/>
  <c r="H166" i="17" s="1"/>
  <c r="C166" i="17"/>
  <c r="S161" i="17" s="1"/>
  <c r="G132" i="17"/>
  <c r="H132" i="17"/>
  <c r="R131" i="17"/>
  <c r="L95" i="17"/>
  <c r="G95" i="17"/>
  <c r="S95" i="17"/>
  <c r="F95" i="17"/>
  <c r="N91" i="20"/>
  <c r="J91" i="20" s="1"/>
  <c r="I132" i="20"/>
  <c r="B150" i="20"/>
  <c r="G129" i="20"/>
  <c r="H129" i="20"/>
  <c r="R128" i="20"/>
  <c r="S91" i="20"/>
  <c r="L91" i="20"/>
  <c r="G91" i="20"/>
  <c r="F91" i="20"/>
  <c r="N92" i="20"/>
  <c r="J92" i="20" s="1"/>
  <c r="I133" i="20"/>
  <c r="B151" i="20"/>
  <c r="H130" i="20"/>
  <c r="G130" i="20"/>
  <c r="R129" i="20"/>
  <c r="S92" i="20"/>
  <c r="L92" i="20"/>
  <c r="G92" i="20"/>
  <c r="F92" i="20"/>
  <c r="N93" i="20"/>
  <c r="J93" i="20" s="1"/>
  <c r="B152" i="20"/>
  <c r="G131" i="20"/>
  <c r="H131" i="20"/>
  <c r="R130" i="20"/>
  <c r="S93" i="20"/>
  <c r="L93" i="20"/>
  <c r="G93" i="20"/>
  <c r="F93" i="20"/>
  <c r="N94" i="20"/>
  <c r="J94" i="20" s="1"/>
  <c r="B153" i="20"/>
  <c r="G132" i="20"/>
  <c r="H132" i="20"/>
  <c r="R131" i="20"/>
  <c r="S94" i="20"/>
  <c r="L94" i="20"/>
  <c r="G94" i="20"/>
  <c r="F94" i="20"/>
  <c r="N95" i="20"/>
  <c r="J95" i="20" s="1"/>
  <c r="B154" i="20"/>
  <c r="L164" i="20"/>
  <c r="L165" i="20"/>
  <c r="L168" i="20" s="1"/>
  <c r="G167" i="20" s="1"/>
  <c r="H167" i="20" s="1"/>
  <c r="C167" i="20"/>
  <c r="S162" i="20" s="1"/>
  <c r="G133" i="20"/>
  <c r="H133" i="20"/>
  <c r="R132" i="20"/>
  <c r="S95" i="20"/>
  <c r="L95" i="20"/>
  <c r="G95" i="20"/>
  <c r="F95" i="20"/>
  <c r="N96" i="20"/>
  <c r="J96" i="20" s="1"/>
  <c r="I134" i="20"/>
  <c r="B155" i="20"/>
  <c r="S96" i="20"/>
  <c r="L96" i="20"/>
  <c r="G96" i="20"/>
  <c r="F96" i="20"/>
  <c r="I78" i="20"/>
  <c r="S78" i="20"/>
  <c r="E79" i="20"/>
  <c r="F79" i="20" s="1"/>
  <c r="U97" i="20"/>
  <c r="R79" i="20" s="1"/>
  <c r="E98" i="20"/>
  <c r="I78" i="17"/>
  <c r="S78" i="17"/>
  <c r="R78" i="17"/>
  <c r="W97" i="17"/>
  <c r="R34" i="17"/>
  <c r="D68" i="7"/>
  <c r="E64" i="16"/>
  <c r="M64" i="16" s="1"/>
  <c r="G64" i="16"/>
  <c r="O64" i="16" s="1"/>
  <c r="K64" i="16"/>
  <c r="C65" i="16"/>
  <c r="O35" i="16"/>
  <c r="G36" i="16"/>
  <c r="M36" i="16"/>
  <c r="E37" i="16"/>
  <c r="E63" i="15"/>
  <c r="M63" i="15" s="1"/>
  <c r="K63" i="15"/>
  <c r="G63" i="15"/>
  <c r="O63" i="15" s="1"/>
  <c r="C64" i="15"/>
  <c r="O34" i="15"/>
  <c r="G35" i="15"/>
  <c r="M35" i="15"/>
  <c r="E36" i="15"/>
  <c r="O62" i="14"/>
  <c r="G76" i="14"/>
  <c r="O75" i="14" s="1"/>
  <c r="E63" i="14"/>
  <c r="M63" i="14" s="1"/>
  <c r="G63" i="14"/>
  <c r="K63" i="14"/>
  <c r="C64" i="14"/>
  <c r="O35" i="14"/>
  <c r="G36" i="14"/>
  <c r="M36" i="14"/>
  <c r="E37" i="14"/>
  <c r="X128" i="19"/>
  <c r="W128" i="19"/>
  <c r="AD132" i="19"/>
  <c r="P110" i="14"/>
  <c r="L120" i="14" s="1"/>
  <c r="K132" i="19"/>
  <c r="L132" i="19"/>
  <c r="G150" i="19"/>
  <c r="F150" i="19"/>
  <c r="R146" i="19"/>
  <c r="X129" i="19"/>
  <c r="W129" i="19"/>
  <c r="AD133" i="19"/>
  <c r="P111" i="14"/>
  <c r="L121" i="14" s="1"/>
  <c r="K133" i="19"/>
  <c r="L133" i="19"/>
  <c r="G151" i="19"/>
  <c r="F151" i="19"/>
  <c r="R147" i="19"/>
  <c r="X130" i="19"/>
  <c r="W130" i="19"/>
  <c r="P112" i="14"/>
  <c r="L122" i="14" s="1"/>
  <c r="G152" i="19"/>
  <c r="F152" i="19"/>
  <c r="R148" i="19"/>
  <c r="D58" i="13"/>
  <c r="F58" i="13"/>
  <c r="N58" i="13" s="1"/>
  <c r="J58" i="13"/>
  <c r="J104" i="13"/>
  <c r="D118" i="13"/>
  <c r="F118" i="13" s="1"/>
  <c r="U98" i="13" s="1"/>
  <c r="B59" i="13"/>
  <c r="N30" i="13"/>
  <c r="F31" i="13"/>
  <c r="B119" i="13"/>
  <c r="B60" i="15"/>
  <c r="N30" i="15"/>
  <c r="F31" i="15"/>
  <c r="J59" i="15"/>
  <c r="F59" i="15"/>
  <c r="N59" i="15" s="1"/>
  <c r="D59" i="15"/>
  <c r="B61" i="16"/>
  <c r="N31" i="16"/>
  <c r="F32" i="16"/>
  <c r="J60" i="16"/>
  <c r="F60" i="16"/>
  <c r="N60" i="16" s="1"/>
  <c r="D60" i="16"/>
  <c r="D119" i="14"/>
  <c r="F119" i="14" s="1"/>
  <c r="J109" i="14"/>
  <c r="B60" i="14"/>
  <c r="N31" i="14"/>
  <c r="F32" i="14"/>
  <c r="B120" i="14"/>
  <c r="J59" i="14"/>
  <c r="F59" i="14"/>
  <c r="N59" i="14" s="1"/>
  <c r="D59" i="14"/>
  <c r="E52" i="21"/>
  <c r="M52" i="21" s="1"/>
  <c r="K52" i="21"/>
  <c r="C33" i="21"/>
  <c r="J52" i="21"/>
  <c r="D52" i="21"/>
  <c r="L52" i="21" s="1"/>
  <c r="X87" i="21"/>
  <c r="E53" i="21"/>
  <c r="M53" i="21" s="1"/>
  <c r="K53" i="21"/>
  <c r="C34" i="21"/>
  <c r="J53" i="21"/>
  <c r="D53" i="21"/>
  <c r="L53" i="21" s="1"/>
  <c r="E54" i="21"/>
  <c r="M54" i="21" s="1"/>
  <c r="K54" i="21"/>
  <c r="C35" i="21"/>
  <c r="J54" i="21"/>
  <c r="D54" i="21"/>
  <c r="L54" i="21" s="1"/>
  <c r="N28" i="21"/>
  <c r="B55" i="21"/>
  <c r="C55" i="21" s="1"/>
  <c r="N123" i="25"/>
  <c r="O123" i="25" s="1"/>
  <c r="J134" i="25"/>
  <c r="K134" i="25" s="1"/>
  <c r="M134" i="25" s="1"/>
  <c r="N134" i="25" s="1"/>
  <c r="J172" i="25"/>
  <c r="K172" i="25"/>
  <c r="L172" i="25"/>
  <c r="M172" i="25" s="1"/>
  <c r="O172" i="25" s="1"/>
  <c r="P172" i="25" s="1"/>
  <c r="M29" i="25"/>
  <c r="E30" i="25"/>
  <c r="J124" i="25"/>
  <c r="N171" i="13"/>
  <c r="O171" i="13"/>
  <c r="K155" i="13"/>
  <c r="K124" i="13"/>
  <c r="M60" i="13"/>
  <c r="U108" i="33"/>
  <c r="V108" i="33" s="1"/>
  <c r="U108" i="31"/>
  <c r="V108" i="31" s="1"/>
  <c r="U108" i="32"/>
  <c r="V108" i="32" s="1"/>
  <c r="O60" i="13"/>
  <c r="W113" i="13" s="1"/>
  <c r="G74" i="13"/>
  <c r="O73" i="13" s="1"/>
  <c r="K140" i="32"/>
  <c r="K140" i="33"/>
  <c r="K140" i="31"/>
  <c r="G140" i="32"/>
  <c r="O140" i="32" s="1"/>
  <c r="P140" i="32" s="1"/>
  <c r="N140" i="32"/>
  <c r="J125" i="13"/>
  <c r="J172" i="13"/>
  <c r="K172" i="13" s="1"/>
  <c r="G140" i="31"/>
  <c r="O140" i="31" s="1"/>
  <c r="P140" i="31" s="1"/>
  <c r="N140" i="31"/>
  <c r="G140" i="33"/>
  <c r="O140" i="33" s="1"/>
  <c r="P140" i="33" s="1"/>
  <c r="N140" i="33"/>
  <c r="E61" i="13"/>
  <c r="G61" i="13"/>
  <c r="K61" i="13"/>
  <c r="C141" i="32"/>
  <c r="F141" i="32" s="1"/>
  <c r="C141" i="33"/>
  <c r="F141" i="33" s="1"/>
  <c r="K107" i="13"/>
  <c r="C141" i="31"/>
  <c r="F141" i="31" s="1"/>
  <c r="O33" i="13"/>
  <c r="C62" i="13"/>
  <c r="G34" i="13"/>
  <c r="M34" i="13"/>
  <c r="E35" i="13"/>
  <c r="B144" i="31"/>
  <c r="J144" i="31" s="1"/>
  <c r="L144" i="31"/>
  <c r="D145" i="31"/>
  <c r="A144" i="31"/>
  <c r="I144" i="31" s="1"/>
  <c r="C32" i="27"/>
  <c r="J50" i="27"/>
  <c r="D50" i="27"/>
  <c r="L50" i="27" s="1"/>
  <c r="E50" i="27"/>
  <c r="M50" i="27" s="1"/>
  <c r="K50" i="27"/>
  <c r="E51" i="27"/>
  <c r="M51" i="27" s="1"/>
  <c r="K51" i="27"/>
  <c r="C33" i="27"/>
  <c r="J51" i="27"/>
  <c r="D51" i="27"/>
  <c r="L51" i="27" s="1"/>
  <c r="N144" i="30"/>
  <c r="S110" i="35"/>
  <c r="E84" i="35" s="1"/>
  <c r="V84" i="35" s="1"/>
  <c r="V116" i="35"/>
  <c r="B101" i="25"/>
  <c r="B20" i="29"/>
  <c r="B169" i="24"/>
  <c r="K167" i="24"/>
  <c r="B181" i="24"/>
  <c r="K179" i="24"/>
  <c r="B193" i="24"/>
  <c r="K191" i="24"/>
  <c r="V75" i="19"/>
  <c r="B132" i="19"/>
  <c r="B114" i="14"/>
  <c r="B113" i="13"/>
  <c r="B75" i="19"/>
  <c r="I76" i="19"/>
  <c r="S76" i="19"/>
  <c r="E77" i="19"/>
  <c r="F77" i="19" s="1"/>
  <c r="E96" i="19"/>
  <c r="U95" i="19"/>
  <c r="R77" i="19" s="1"/>
  <c r="T47" i="28"/>
  <c r="B67" i="28"/>
  <c r="U47" i="28"/>
  <c r="C67" i="28"/>
  <c r="U49" i="22"/>
  <c r="C68" i="22"/>
  <c r="T49" i="22"/>
  <c r="B68" i="22"/>
  <c r="U49" i="23"/>
  <c r="C68" i="23"/>
  <c r="T49" i="23"/>
  <c r="B68" i="23"/>
  <c r="B145" i="34" l="1"/>
  <c r="A145" i="34"/>
  <c r="D146" i="34"/>
  <c r="L145" i="34"/>
  <c r="J144" i="34"/>
  <c r="I144" i="34"/>
  <c r="B146" i="33"/>
  <c r="J146" i="33" s="1"/>
  <c r="A146" i="33"/>
  <c r="L146" i="33"/>
  <c r="B14" i="35"/>
  <c r="B32" i="34"/>
  <c r="J162" i="30"/>
  <c r="B15" i="29"/>
  <c r="K15" i="29" s="1"/>
  <c r="B100" i="25"/>
  <c r="N86" i="18"/>
  <c r="J86" i="18" s="1"/>
  <c r="C87" i="18"/>
  <c r="R66" i="18"/>
  <c r="B67" i="18"/>
  <c r="B127" i="18"/>
  <c r="I130" i="18"/>
  <c r="B156" i="18"/>
  <c r="S86" i="18"/>
  <c r="L86" i="18"/>
  <c r="G86" i="18"/>
  <c r="F86" i="18"/>
  <c r="X127" i="17"/>
  <c r="W127" i="17"/>
  <c r="AD131" i="17"/>
  <c r="K131" i="17"/>
  <c r="L131" i="17"/>
  <c r="G149" i="17"/>
  <c r="F149" i="17"/>
  <c r="R145" i="17"/>
  <c r="Z91" i="17"/>
  <c r="V91" i="17"/>
  <c r="W91" i="17"/>
  <c r="AB91" i="17"/>
  <c r="K132" i="17"/>
  <c r="L132" i="17"/>
  <c r="F150" i="17"/>
  <c r="G150" i="17"/>
  <c r="R146" i="17"/>
  <c r="X128" i="17"/>
  <c r="W128" i="17"/>
  <c r="AD132" i="17"/>
  <c r="Z92" i="17"/>
  <c r="V92" i="17"/>
  <c r="W92" i="17"/>
  <c r="AB92" i="17"/>
  <c r="G151" i="17"/>
  <c r="F151" i="17"/>
  <c r="R147" i="17"/>
  <c r="W129" i="17"/>
  <c r="X129" i="17"/>
  <c r="Z93" i="17"/>
  <c r="V93" i="17"/>
  <c r="W93" i="17"/>
  <c r="AB93" i="17"/>
  <c r="X130" i="17"/>
  <c r="W130" i="17"/>
  <c r="G152" i="17"/>
  <c r="F152" i="17"/>
  <c r="R148" i="17"/>
  <c r="Z94" i="17"/>
  <c r="V94" i="17"/>
  <c r="W94" i="17"/>
  <c r="AB94" i="17"/>
  <c r="K133" i="17"/>
  <c r="L133" i="17"/>
  <c r="F154" i="17"/>
  <c r="R150" i="17"/>
  <c r="Z96" i="17"/>
  <c r="V96" i="17"/>
  <c r="W96" i="17"/>
  <c r="AB96" i="17"/>
  <c r="E58" i="25"/>
  <c r="M58" i="25" s="1"/>
  <c r="G58" i="25"/>
  <c r="O58" i="25" s="1"/>
  <c r="K58" i="25"/>
  <c r="K137" i="34" s="1"/>
  <c r="C137" i="34"/>
  <c r="F137" i="34" s="1"/>
  <c r="J58" i="25"/>
  <c r="F58" i="25"/>
  <c r="N58" i="25" s="1"/>
  <c r="D58" i="25"/>
  <c r="K156" i="25"/>
  <c r="M156" i="25" s="1"/>
  <c r="J156" i="25"/>
  <c r="L156" i="25" s="1"/>
  <c r="C59" i="25"/>
  <c r="N29" i="25"/>
  <c r="B59" i="25"/>
  <c r="B128" i="25"/>
  <c r="C128" i="25" s="1"/>
  <c r="L125" i="25" s="1"/>
  <c r="F30" i="25"/>
  <c r="L30" i="25"/>
  <c r="D31" i="25"/>
  <c r="G153" i="17"/>
  <c r="F153" i="17"/>
  <c r="R149" i="17"/>
  <c r="L169" i="17"/>
  <c r="B171" i="17"/>
  <c r="D171" i="17" s="1"/>
  <c r="V161" i="17"/>
  <c r="W161" i="17" s="1"/>
  <c r="X161" i="17" s="1"/>
  <c r="F166" i="17"/>
  <c r="R166" i="17"/>
  <c r="T166" i="17" s="1"/>
  <c r="L175" i="17"/>
  <c r="L176" i="17"/>
  <c r="X131" i="17"/>
  <c r="W131" i="17"/>
  <c r="Z95" i="17"/>
  <c r="V95" i="17"/>
  <c r="AB95" i="17"/>
  <c r="W95" i="17"/>
  <c r="K132" i="20"/>
  <c r="L132" i="20"/>
  <c r="G150" i="20"/>
  <c r="F150" i="20"/>
  <c r="R146" i="20"/>
  <c r="X128" i="20"/>
  <c r="W128" i="20"/>
  <c r="AD132" i="20"/>
  <c r="Z91" i="20"/>
  <c r="V91" i="20"/>
  <c r="W91" i="20"/>
  <c r="AB91" i="20"/>
  <c r="K133" i="20"/>
  <c r="L133" i="20"/>
  <c r="G151" i="20"/>
  <c r="F151" i="20"/>
  <c r="R147" i="20"/>
  <c r="X129" i="20"/>
  <c r="W129" i="20"/>
  <c r="AD133" i="20"/>
  <c r="Z92" i="20"/>
  <c r="V92" i="20"/>
  <c r="W92" i="20"/>
  <c r="AB92" i="20"/>
  <c r="G152" i="20"/>
  <c r="F152" i="20"/>
  <c r="R148" i="20"/>
  <c r="X130" i="20"/>
  <c r="W130" i="20"/>
  <c r="Z93" i="20"/>
  <c r="V93" i="20"/>
  <c r="W93" i="20"/>
  <c r="AB93" i="20"/>
  <c r="G153" i="20"/>
  <c r="F153" i="20"/>
  <c r="R149" i="20"/>
  <c r="X131" i="20"/>
  <c r="W131" i="20"/>
  <c r="Z94" i="20"/>
  <c r="V94" i="20"/>
  <c r="W94" i="20"/>
  <c r="AB94" i="20"/>
  <c r="G154" i="20"/>
  <c r="F154" i="20"/>
  <c r="R150" i="20"/>
  <c r="L170" i="20"/>
  <c r="B172" i="20"/>
  <c r="D172" i="20" s="1"/>
  <c r="V162" i="20"/>
  <c r="W162" i="20" s="1"/>
  <c r="X162" i="20" s="1"/>
  <c r="F167" i="20"/>
  <c r="R167" i="20"/>
  <c r="T167" i="20" s="1"/>
  <c r="L176" i="20"/>
  <c r="L177" i="20"/>
  <c r="X132" i="20"/>
  <c r="W132" i="20"/>
  <c r="Z95" i="20"/>
  <c r="V95" i="20"/>
  <c r="W95" i="20"/>
  <c r="AB95" i="20"/>
  <c r="K134" i="20"/>
  <c r="L134" i="20"/>
  <c r="G155" i="20"/>
  <c r="F155" i="20"/>
  <c r="R151" i="20"/>
  <c r="Z96" i="20"/>
  <c r="V96" i="20"/>
  <c r="W96" i="20"/>
  <c r="AB96" i="20"/>
  <c r="B78" i="20"/>
  <c r="V78" i="20"/>
  <c r="C97" i="20"/>
  <c r="I79" i="20"/>
  <c r="S79" i="20"/>
  <c r="E80" i="20"/>
  <c r="F80" i="20" s="1"/>
  <c r="U98" i="20"/>
  <c r="R80" i="20" s="1"/>
  <c r="B78" i="17"/>
  <c r="V78" i="17"/>
  <c r="F84" i="6"/>
  <c r="P84" i="6" s="1"/>
  <c r="B34" i="20"/>
  <c r="R34" i="20" s="1"/>
  <c r="B34" i="19"/>
  <c r="R34" i="19" s="1"/>
  <c r="B29" i="18"/>
  <c r="R29" i="18" s="1"/>
  <c r="B33" i="12"/>
  <c r="B84" i="12" s="1"/>
  <c r="B33" i="11"/>
  <c r="B38" i="9"/>
  <c r="F38" i="9" s="1"/>
  <c r="H38" i="9" s="1"/>
  <c r="J38" i="9" s="1"/>
  <c r="B37" i="9"/>
  <c r="F37" i="9" s="1"/>
  <c r="AG86" i="7"/>
  <c r="AC86" i="7"/>
  <c r="E65" i="16"/>
  <c r="M65" i="16" s="1"/>
  <c r="G65" i="16"/>
  <c r="O65" i="16" s="1"/>
  <c r="K65" i="16"/>
  <c r="C66" i="16"/>
  <c r="O36" i="16"/>
  <c r="G37" i="16"/>
  <c r="M37" i="16"/>
  <c r="E38" i="16"/>
  <c r="E64" i="15"/>
  <c r="M64" i="15" s="1"/>
  <c r="G64" i="15"/>
  <c r="O64" i="15" s="1"/>
  <c r="K64" i="15"/>
  <c r="C65" i="15"/>
  <c r="O35" i="15"/>
  <c r="G36" i="15"/>
  <c r="M36" i="15"/>
  <c r="E37" i="15"/>
  <c r="O63" i="14"/>
  <c r="G77" i="14"/>
  <c r="O76" i="14" s="1"/>
  <c r="E64" i="14"/>
  <c r="M64" i="14" s="1"/>
  <c r="G64" i="14"/>
  <c r="K64" i="14"/>
  <c r="C65" i="14"/>
  <c r="O36" i="14"/>
  <c r="G37" i="14"/>
  <c r="M37" i="14"/>
  <c r="E38" i="14"/>
  <c r="K138" i="19"/>
  <c r="N132" i="19"/>
  <c r="M132" i="19"/>
  <c r="M138" i="19" s="1"/>
  <c r="O132" i="19"/>
  <c r="AE132" i="19"/>
  <c r="W146" i="19"/>
  <c r="V146" i="19"/>
  <c r="K139" i="19"/>
  <c r="N133" i="19"/>
  <c r="M133" i="19"/>
  <c r="M139" i="19" s="1"/>
  <c r="O133" i="19"/>
  <c r="AE133" i="19"/>
  <c r="V147" i="19"/>
  <c r="W147" i="19"/>
  <c r="W148" i="19"/>
  <c r="V148" i="19"/>
  <c r="C72" i="13"/>
  <c r="D72" i="13" s="1"/>
  <c r="L58" i="13"/>
  <c r="K71" i="13" s="1"/>
  <c r="L71" i="13" s="1"/>
  <c r="J154" i="13"/>
  <c r="L104" i="13"/>
  <c r="M104" i="13" s="1"/>
  <c r="D59" i="13"/>
  <c r="F59" i="13"/>
  <c r="J59" i="13"/>
  <c r="B60" i="13"/>
  <c r="N31" i="13"/>
  <c r="F32" i="13"/>
  <c r="B120" i="13"/>
  <c r="D119" i="13"/>
  <c r="F119" i="13" s="1"/>
  <c r="U99" i="13" s="1"/>
  <c r="J105" i="13"/>
  <c r="D60" i="15"/>
  <c r="F60" i="15"/>
  <c r="N60" i="15" s="1"/>
  <c r="J60" i="15"/>
  <c r="B61" i="15"/>
  <c r="F32" i="15"/>
  <c r="N31" i="15"/>
  <c r="C76" i="15"/>
  <c r="L59" i="15"/>
  <c r="D61" i="16"/>
  <c r="F61" i="16"/>
  <c r="N61" i="16" s="1"/>
  <c r="J61" i="16"/>
  <c r="B62" i="16"/>
  <c r="N32" i="16"/>
  <c r="F33" i="16"/>
  <c r="C77" i="16"/>
  <c r="D77" i="16" s="1"/>
  <c r="L60" i="16"/>
  <c r="K77" i="16" s="1"/>
  <c r="L77" i="16" s="1"/>
  <c r="W105" i="14"/>
  <c r="S118" i="14" s="1"/>
  <c r="N109" i="14"/>
  <c r="O109" i="14" s="1"/>
  <c r="K119" i="14" s="1"/>
  <c r="V105" i="14"/>
  <c r="D60" i="14"/>
  <c r="F60" i="14"/>
  <c r="J60" i="14"/>
  <c r="B61" i="14"/>
  <c r="N32" i="14"/>
  <c r="F33" i="14"/>
  <c r="B121" i="14"/>
  <c r="D120" i="14"/>
  <c r="F120" i="14" s="1"/>
  <c r="J110" i="14"/>
  <c r="C73" i="14"/>
  <c r="D73" i="14" s="1"/>
  <c r="L59" i="14"/>
  <c r="K72" i="14" s="1"/>
  <c r="L72" i="14" s="1"/>
  <c r="D33" i="21"/>
  <c r="E33" i="21" s="1"/>
  <c r="K33" i="21"/>
  <c r="L33" i="21" s="1"/>
  <c r="M33" i="21" s="1"/>
  <c r="D34" i="21"/>
  <c r="E34" i="21" s="1"/>
  <c r="K34" i="21"/>
  <c r="L34" i="21" s="1"/>
  <c r="M34" i="21" s="1"/>
  <c r="D35" i="21"/>
  <c r="E35" i="21" s="1"/>
  <c r="K35" i="21"/>
  <c r="L35" i="21" s="1"/>
  <c r="M35" i="21" s="1"/>
  <c r="E55" i="21"/>
  <c r="M55" i="21" s="1"/>
  <c r="K55" i="21"/>
  <c r="C36" i="21"/>
  <c r="B69" i="21"/>
  <c r="J55" i="21"/>
  <c r="J69" i="21" s="1"/>
  <c r="D55" i="21"/>
  <c r="L55" i="21" s="1"/>
  <c r="M30" i="25"/>
  <c r="E31" i="25"/>
  <c r="J125" i="25"/>
  <c r="N124" i="25"/>
  <c r="O124" i="25" s="1"/>
  <c r="J135" i="25"/>
  <c r="K135" i="25" s="1"/>
  <c r="M135" i="25" s="1"/>
  <c r="N135" i="25" s="1"/>
  <c r="J173" i="25"/>
  <c r="K173" i="25"/>
  <c r="L173" i="25"/>
  <c r="M173" i="25" s="1"/>
  <c r="O173" i="25" s="1"/>
  <c r="P173" i="25" s="1"/>
  <c r="O155" i="13"/>
  <c r="N155" i="13"/>
  <c r="O124" i="13"/>
  <c r="N124" i="13"/>
  <c r="K125" i="13"/>
  <c r="K156" i="13"/>
  <c r="O172" i="13"/>
  <c r="N172" i="13"/>
  <c r="M61" i="13"/>
  <c r="U109" i="33"/>
  <c r="V109" i="33" s="1"/>
  <c r="U109" i="31"/>
  <c r="V109" i="31" s="1"/>
  <c r="U109" i="32"/>
  <c r="V109" i="32" s="1"/>
  <c r="O61" i="13"/>
  <c r="W114" i="13" s="1"/>
  <c r="G75" i="13"/>
  <c r="O74" i="13" s="1"/>
  <c r="K141" i="33"/>
  <c r="K141" i="32"/>
  <c r="K141" i="31"/>
  <c r="G141" i="32"/>
  <c r="O141" i="32" s="1"/>
  <c r="P141" i="32" s="1"/>
  <c r="N141" i="32"/>
  <c r="N141" i="33"/>
  <c r="G141" i="33"/>
  <c r="O141" i="33" s="1"/>
  <c r="P141" i="33" s="1"/>
  <c r="J126" i="13"/>
  <c r="J173" i="13"/>
  <c r="K173" i="13" s="1"/>
  <c r="G141" i="31"/>
  <c r="O141" i="31" s="1"/>
  <c r="P141" i="31" s="1"/>
  <c r="N141" i="31"/>
  <c r="E62" i="13"/>
  <c r="G62" i="13"/>
  <c r="K62" i="13"/>
  <c r="K108" i="13"/>
  <c r="C142" i="32"/>
  <c r="F142" i="32" s="1"/>
  <c r="C142" i="33"/>
  <c r="F142" i="33" s="1"/>
  <c r="C142" i="31"/>
  <c r="F142" i="31" s="1"/>
  <c r="O34" i="13"/>
  <c r="C63" i="13"/>
  <c r="G35" i="13"/>
  <c r="M35" i="13"/>
  <c r="E36" i="13"/>
  <c r="B145" i="31"/>
  <c r="J145" i="31" s="1"/>
  <c r="L145" i="31"/>
  <c r="A145" i="31"/>
  <c r="I145" i="31" s="1"/>
  <c r="D32" i="27"/>
  <c r="E32" i="27" s="1"/>
  <c r="K32" i="27"/>
  <c r="L32" i="27" s="1"/>
  <c r="M32" i="27" s="1"/>
  <c r="D33" i="27"/>
  <c r="E33" i="27" s="1"/>
  <c r="K33" i="27"/>
  <c r="L33" i="27" s="1"/>
  <c r="M33" i="27" s="1"/>
  <c r="J160" i="30"/>
  <c r="K20" i="29"/>
  <c r="J101" i="25"/>
  <c r="B105" i="25"/>
  <c r="J105" i="25" s="1"/>
  <c r="B29" i="29"/>
  <c r="K169" i="24"/>
  <c r="L169" i="24" s="1"/>
  <c r="C169" i="24"/>
  <c r="K181" i="24"/>
  <c r="L181" i="24" s="1"/>
  <c r="C181" i="24"/>
  <c r="K193" i="24"/>
  <c r="L193" i="24" s="1"/>
  <c r="C193" i="24"/>
  <c r="G132" i="19"/>
  <c r="H132" i="19"/>
  <c r="R131" i="19"/>
  <c r="D114" i="14"/>
  <c r="L113" i="14"/>
  <c r="M113" i="14" s="1"/>
  <c r="D113" i="13"/>
  <c r="X103" i="13" s="1"/>
  <c r="T115" i="13"/>
  <c r="V131" i="13" s="1"/>
  <c r="N94" i="19"/>
  <c r="J94" i="19" s="1"/>
  <c r="B153" i="19"/>
  <c r="V76" i="19"/>
  <c r="B133" i="19"/>
  <c r="L163" i="19"/>
  <c r="B114" i="13"/>
  <c r="B115" i="14"/>
  <c r="B76" i="19"/>
  <c r="I77" i="19"/>
  <c r="S77" i="19"/>
  <c r="E78" i="19"/>
  <c r="F78" i="19" s="1"/>
  <c r="E97" i="19"/>
  <c r="U96" i="19"/>
  <c r="R78" i="19" s="1"/>
  <c r="B69" i="28"/>
  <c r="B68" i="28"/>
  <c r="T68" i="28" s="1"/>
  <c r="T67" i="28"/>
  <c r="C69" i="28"/>
  <c r="C68" i="28"/>
  <c r="U68" i="28" s="1"/>
  <c r="U67" i="28"/>
  <c r="C70" i="22"/>
  <c r="C69" i="22"/>
  <c r="U69" i="22" s="1"/>
  <c r="U68" i="22"/>
  <c r="B70" i="22"/>
  <c r="B69" i="22"/>
  <c r="T69" i="22" s="1"/>
  <c r="T68" i="22"/>
  <c r="C70" i="23"/>
  <c r="C69" i="23"/>
  <c r="U69" i="23" s="1"/>
  <c r="U68" i="23"/>
  <c r="B70" i="23"/>
  <c r="B69" i="23"/>
  <c r="T69" i="23" s="1"/>
  <c r="T68" i="23"/>
  <c r="B146" i="34" l="1"/>
  <c r="L146" i="34"/>
  <c r="A146" i="34"/>
  <c r="J145" i="34"/>
  <c r="I145" i="34"/>
  <c r="F146" i="33"/>
  <c r="I146" i="33"/>
  <c r="H11" i="35"/>
  <c r="S14" i="35"/>
  <c r="H46" i="35"/>
  <c r="B98" i="34"/>
  <c r="B99" i="34"/>
  <c r="J99" i="34" s="1"/>
  <c r="B71" i="34"/>
  <c r="B76" i="34"/>
  <c r="B49" i="34"/>
  <c r="J32" i="34"/>
  <c r="L169" i="30"/>
  <c r="L173" i="30" s="1"/>
  <c r="N173" i="30" s="1"/>
  <c r="L171" i="30"/>
  <c r="J100" i="25"/>
  <c r="B104" i="25"/>
  <c r="S87" i="18"/>
  <c r="L87" i="18"/>
  <c r="G87" i="18"/>
  <c r="F87" i="18"/>
  <c r="AD86" i="18"/>
  <c r="Z86" i="18" s="1"/>
  <c r="Y130" i="18"/>
  <c r="N87" i="18"/>
  <c r="J87" i="18" s="1"/>
  <c r="R67" i="18"/>
  <c r="B68" i="18"/>
  <c r="B128" i="18"/>
  <c r="I131" i="18"/>
  <c r="B157" i="18"/>
  <c r="G127" i="18"/>
  <c r="H127" i="18"/>
  <c r="R127" i="18"/>
  <c r="K130" i="18"/>
  <c r="L130" i="18"/>
  <c r="F156" i="18"/>
  <c r="G156" i="18"/>
  <c r="R156" i="18"/>
  <c r="V86" i="18"/>
  <c r="W86" i="18"/>
  <c r="AB86" i="18"/>
  <c r="K137" i="17"/>
  <c r="N131" i="17"/>
  <c r="M131" i="17"/>
  <c r="M137" i="17" s="1"/>
  <c r="O131" i="17"/>
  <c r="W145" i="17"/>
  <c r="V145" i="17"/>
  <c r="AE131" i="17"/>
  <c r="K138" i="17"/>
  <c r="N132" i="17"/>
  <c r="M132" i="17"/>
  <c r="M138" i="17" s="1"/>
  <c r="O132" i="17"/>
  <c r="W146" i="17"/>
  <c r="V146" i="17"/>
  <c r="AE132" i="17"/>
  <c r="W147" i="17"/>
  <c r="V147" i="17"/>
  <c r="W148" i="17"/>
  <c r="V148" i="17"/>
  <c r="K142" i="17"/>
  <c r="N133" i="17"/>
  <c r="M133" i="17"/>
  <c r="M142" i="17" s="1"/>
  <c r="O133" i="17"/>
  <c r="V150" i="17"/>
  <c r="AE134" i="17"/>
  <c r="G137" i="34"/>
  <c r="O137" i="34" s="1"/>
  <c r="P137" i="34" s="1"/>
  <c r="N137" i="34"/>
  <c r="C73" i="25"/>
  <c r="D73" i="25" s="1"/>
  <c r="L58" i="25"/>
  <c r="K73" i="25" s="1"/>
  <c r="L73" i="25" s="1"/>
  <c r="E59" i="25"/>
  <c r="M59" i="25" s="1"/>
  <c r="G59" i="25"/>
  <c r="O59" i="25" s="1"/>
  <c r="K59" i="25"/>
  <c r="K138" i="34" s="1"/>
  <c r="C138" i="34"/>
  <c r="F138" i="34" s="1"/>
  <c r="J59" i="25"/>
  <c r="F59" i="25"/>
  <c r="N59" i="25" s="1"/>
  <c r="D59" i="25"/>
  <c r="J157" i="25"/>
  <c r="L157" i="25" s="1"/>
  <c r="K157" i="25"/>
  <c r="M157" i="25" s="1"/>
  <c r="C60" i="25"/>
  <c r="N30" i="25"/>
  <c r="B60" i="25"/>
  <c r="B129" i="25"/>
  <c r="C129" i="25" s="1"/>
  <c r="L126" i="25" s="1"/>
  <c r="F31" i="25"/>
  <c r="L31" i="25"/>
  <c r="D32" i="25"/>
  <c r="W149" i="17"/>
  <c r="V149" i="17"/>
  <c r="K138" i="20"/>
  <c r="N132" i="20"/>
  <c r="M132" i="20"/>
  <c r="M138" i="20" s="1"/>
  <c r="O132" i="20"/>
  <c r="W146" i="20"/>
  <c r="V146" i="20"/>
  <c r="AE132" i="20"/>
  <c r="K139" i="20"/>
  <c r="N133" i="20"/>
  <c r="M133" i="20"/>
  <c r="M139" i="20" s="1"/>
  <c r="O133" i="20"/>
  <c r="V147" i="20"/>
  <c r="W147" i="20"/>
  <c r="AE133" i="20"/>
  <c r="W148" i="20"/>
  <c r="V148" i="20"/>
  <c r="W149" i="20"/>
  <c r="V149" i="20"/>
  <c r="W150" i="20"/>
  <c r="V150" i="20"/>
  <c r="K143" i="20"/>
  <c r="N134" i="20"/>
  <c r="M134" i="20"/>
  <c r="M143" i="20" s="1"/>
  <c r="O134" i="20"/>
  <c r="W151" i="20"/>
  <c r="V151" i="20"/>
  <c r="AE135" i="20"/>
  <c r="N97" i="20"/>
  <c r="J97" i="20" s="1"/>
  <c r="B156" i="20"/>
  <c r="S97" i="20"/>
  <c r="L97" i="20"/>
  <c r="G97" i="20"/>
  <c r="F97" i="20"/>
  <c r="B79" i="20"/>
  <c r="N98" i="20" s="1"/>
  <c r="J98" i="20" s="1"/>
  <c r="V79" i="20"/>
  <c r="C98" i="20"/>
  <c r="I80" i="20"/>
  <c r="S80" i="20"/>
  <c r="N97" i="17"/>
  <c r="J97" i="17" s="1"/>
  <c r="L98" i="17" s="1"/>
  <c r="B155" i="17"/>
  <c r="F155" i="17" s="1"/>
  <c r="B109" i="12"/>
  <c r="H25" i="12" s="1"/>
  <c r="H41" i="12" s="1"/>
  <c r="K46" i="12" s="1"/>
  <c r="B112" i="12"/>
  <c r="B83" i="11"/>
  <c r="N33" i="11"/>
  <c r="O28" i="9"/>
  <c r="F67" i="9"/>
  <c r="H37" i="9"/>
  <c r="B185" i="9"/>
  <c r="AA112" i="7"/>
  <c r="AE86" i="7"/>
  <c r="AF86" i="7"/>
  <c r="AF120" i="7" s="1"/>
  <c r="AA121" i="7"/>
  <c r="AA119" i="7"/>
  <c r="AA86" i="7"/>
  <c r="AC120" i="7" s="1"/>
  <c r="AD120" i="7" s="1"/>
  <c r="E66" i="16"/>
  <c r="M66" i="16" s="1"/>
  <c r="G66" i="16"/>
  <c r="O66" i="16" s="1"/>
  <c r="K66" i="16"/>
  <c r="C67" i="16"/>
  <c r="O37" i="16"/>
  <c r="G38" i="16"/>
  <c r="M38" i="16"/>
  <c r="E65" i="15"/>
  <c r="M65" i="15" s="1"/>
  <c r="G65" i="15"/>
  <c r="O65" i="15" s="1"/>
  <c r="K65" i="15"/>
  <c r="O36" i="15"/>
  <c r="C66" i="15"/>
  <c r="G37" i="15"/>
  <c r="M37" i="15"/>
  <c r="O64" i="14"/>
  <c r="G78" i="14"/>
  <c r="O77" i="14" s="1"/>
  <c r="E65" i="14"/>
  <c r="M65" i="14" s="1"/>
  <c r="G65" i="14"/>
  <c r="K65" i="14"/>
  <c r="C66" i="14"/>
  <c r="O37" i="14"/>
  <c r="G38" i="14"/>
  <c r="M38" i="14"/>
  <c r="O104" i="13"/>
  <c r="P104" i="13"/>
  <c r="C73" i="13"/>
  <c r="D73" i="13" s="1"/>
  <c r="L59" i="13"/>
  <c r="K72" i="13" s="1"/>
  <c r="L72" i="13" s="1"/>
  <c r="N59" i="13"/>
  <c r="E73" i="13"/>
  <c r="M72" i="13" s="1"/>
  <c r="D60" i="13"/>
  <c r="F60" i="13"/>
  <c r="J60" i="13"/>
  <c r="B61" i="13"/>
  <c r="N32" i="13"/>
  <c r="F33" i="13"/>
  <c r="B121" i="13"/>
  <c r="D120" i="13"/>
  <c r="F120" i="13" s="1"/>
  <c r="U100" i="13" s="1"/>
  <c r="J106" i="13"/>
  <c r="L105" i="13"/>
  <c r="M105" i="13" s="1"/>
  <c r="J155" i="13"/>
  <c r="C77" i="15"/>
  <c r="L60" i="15"/>
  <c r="D61" i="15"/>
  <c r="F61" i="15"/>
  <c r="N61" i="15" s="1"/>
  <c r="J61" i="15"/>
  <c r="B62" i="15"/>
  <c r="N32" i="15"/>
  <c r="F33" i="15"/>
  <c r="D76" i="15"/>
  <c r="L76" i="15" s="1"/>
  <c r="K76" i="15"/>
  <c r="C78" i="16"/>
  <c r="D78" i="16" s="1"/>
  <c r="L61" i="16"/>
  <c r="K78" i="16" s="1"/>
  <c r="L78" i="16" s="1"/>
  <c r="D62" i="16"/>
  <c r="F62" i="16"/>
  <c r="N62" i="16" s="1"/>
  <c r="J62" i="16"/>
  <c r="B63" i="16"/>
  <c r="N33" i="16"/>
  <c r="F34" i="16"/>
  <c r="V118" i="14"/>
  <c r="U118" i="14"/>
  <c r="N119" i="14"/>
  <c r="O119" i="14"/>
  <c r="C74" i="14"/>
  <c r="D74" i="14" s="1"/>
  <c r="L60" i="14"/>
  <c r="K73" i="14" s="1"/>
  <c r="L73" i="14" s="1"/>
  <c r="N60" i="14"/>
  <c r="E74" i="14"/>
  <c r="M73" i="14" s="1"/>
  <c r="D61" i="14"/>
  <c r="F61" i="14"/>
  <c r="J61" i="14"/>
  <c r="B62" i="14"/>
  <c r="N33" i="14"/>
  <c r="F34" i="14"/>
  <c r="B122" i="14"/>
  <c r="D121" i="14"/>
  <c r="F121" i="14" s="1"/>
  <c r="J111" i="14"/>
  <c r="W106" i="14"/>
  <c r="S119" i="14" s="1"/>
  <c r="N110" i="14"/>
  <c r="O110" i="14" s="1"/>
  <c r="K120" i="14" s="1"/>
  <c r="V106" i="14"/>
  <c r="D36" i="21"/>
  <c r="E36" i="21" s="1"/>
  <c r="K36" i="21"/>
  <c r="L36" i="21" s="1"/>
  <c r="M36" i="21" s="1"/>
  <c r="C69" i="21"/>
  <c r="X74" i="21"/>
  <c r="D69" i="21"/>
  <c r="L69" i="21" s="1"/>
  <c r="C72" i="21"/>
  <c r="M31" i="25"/>
  <c r="E32" i="25"/>
  <c r="J126" i="25"/>
  <c r="N125" i="25"/>
  <c r="O125" i="25" s="1"/>
  <c r="J136" i="25"/>
  <c r="K136" i="25" s="1"/>
  <c r="M136" i="25" s="1"/>
  <c r="N136" i="25" s="1"/>
  <c r="J174" i="25"/>
  <c r="K174" i="25"/>
  <c r="L174" i="25"/>
  <c r="M174" i="25" s="1"/>
  <c r="O174" i="25" s="1"/>
  <c r="P174" i="25" s="1"/>
  <c r="O125" i="13"/>
  <c r="N125" i="13"/>
  <c r="O156" i="13"/>
  <c r="N156" i="13"/>
  <c r="K126" i="13"/>
  <c r="K157" i="13"/>
  <c r="O173" i="13"/>
  <c r="N173" i="13"/>
  <c r="M62" i="13"/>
  <c r="U110" i="32"/>
  <c r="V110" i="32" s="1"/>
  <c r="U110" i="33"/>
  <c r="V110" i="33" s="1"/>
  <c r="U110" i="31"/>
  <c r="V110" i="31" s="1"/>
  <c r="O62" i="13"/>
  <c r="W115" i="13" s="1"/>
  <c r="G76" i="13"/>
  <c r="O75" i="13" s="1"/>
  <c r="K142" i="32"/>
  <c r="K142" i="31"/>
  <c r="K142" i="33"/>
  <c r="J127" i="13"/>
  <c r="J174" i="13"/>
  <c r="K174" i="13" s="1"/>
  <c r="N142" i="32"/>
  <c r="G142" i="32"/>
  <c r="O142" i="32" s="1"/>
  <c r="P142" i="32" s="1"/>
  <c r="N142" i="33"/>
  <c r="G142" i="33"/>
  <c r="O142" i="33" s="1"/>
  <c r="P142" i="33" s="1"/>
  <c r="G142" i="31"/>
  <c r="O142" i="31" s="1"/>
  <c r="P142" i="31" s="1"/>
  <c r="N142" i="31"/>
  <c r="E63" i="13"/>
  <c r="G63" i="13"/>
  <c r="K63" i="13"/>
  <c r="C143" i="32"/>
  <c r="F143" i="32" s="1"/>
  <c r="K109" i="13"/>
  <c r="C143" i="33"/>
  <c r="F143" i="33" s="1"/>
  <c r="C143" i="31"/>
  <c r="F143" i="31" s="1"/>
  <c r="O35" i="13"/>
  <c r="C64" i="13"/>
  <c r="G36" i="13"/>
  <c r="M36" i="13"/>
  <c r="E37" i="13"/>
  <c r="J169" i="30"/>
  <c r="N169" i="30" s="1"/>
  <c r="J171" i="30"/>
  <c r="B36" i="29"/>
  <c r="K29" i="29"/>
  <c r="B68" i="29"/>
  <c r="X131" i="19"/>
  <c r="W131" i="19"/>
  <c r="P113" i="14"/>
  <c r="L123" i="14" s="1"/>
  <c r="G153" i="19"/>
  <c r="F153" i="19"/>
  <c r="R149" i="19"/>
  <c r="G133" i="19"/>
  <c r="H133" i="19"/>
  <c r="R132" i="19"/>
  <c r="L164" i="19"/>
  <c r="L165" i="19"/>
  <c r="L168" i="19" s="1"/>
  <c r="G167" i="19" s="1"/>
  <c r="H167" i="19" s="1"/>
  <c r="C167" i="19"/>
  <c r="S162" i="19" s="1"/>
  <c r="D114" i="13"/>
  <c r="X104" i="13" s="1"/>
  <c r="T116" i="13"/>
  <c r="V132" i="13" s="1"/>
  <c r="D115" i="14"/>
  <c r="L114" i="14"/>
  <c r="M114" i="14" s="1"/>
  <c r="N95" i="19"/>
  <c r="J95" i="19" s="1"/>
  <c r="B154" i="19"/>
  <c r="V77" i="19"/>
  <c r="B116" i="14"/>
  <c r="B115" i="13"/>
  <c r="B77" i="19"/>
  <c r="I78" i="19"/>
  <c r="S78" i="19"/>
  <c r="E79" i="19"/>
  <c r="F79" i="19" s="1"/>
  <c r="E98" i="19"/>
  <c r="U97" i="19"/>
  <c r="R79" i="19" s="1"/>
  <c r="B78" i="28"/>
  <c r="A78" i="28" s="1"/>
  <c r="T69" i="28"/>
  <c r="T78" i="28" s="1"/>
  <c r="S78" i="28" s="1"/>
  <c r="B79" i="28"/>
  <c r="A79" i="28" s="1"/>
  <c r="U69" i="28"/>
  <c r="T79" i="28" s="1"/>
  <c r="S79" i="28" s="1"/>
  <c r="B80" i="22"/>
  <c r="A80" i="22" s="1"/>
  <c r="U70" i="22"/>
  <c r="T80" i="22" s="1"/>
  <c r="S80" i="22" s="1"/>
  <c r="B79" i="22"/>
  <c r="A79" i="22" s="1"/>
  <c r="T70" i="22"/>
  <c r="T79" i="22" s="1"/>
  <c r="S79" i="22" s="1"/>
  <c r="B80" i="23"/>
  <c r="A80" i="23" s="1"/>
  <c r="U70" i="23"/>
  <c r="T80" i="23" s="1"/>
  <c r="S80" i="23" s="1"/>
  <c r="B79" i="23"/>
  <c r="A79" i="23" s="1"/>
  <c r="T70" i="23"/>
  <c r="T79" i="23" s="1"/>
  <c r="S79" i="23" s="1"/>
  <c r="J146" i="34" l="1"/>
  <c r="I146" i="34"/>
  <c r="G146" i="33"/>
  <c r="O146" i="33" s="1"/>
  <c r="P146" i="33" s="1"/>
  <c r="N146" i="33"/>
  <c r="C75" i="35"/>
  <c r="T75" i="35" s="1"/>
  <c r="Y46" i="35"/>
  <c r="C76" i="35"/>
  <c r="T76" i="35" s="1"/>
  <c r="T80" i="35" s="1"/>
  <c r="C77" i="35"/>
  <c r="T77" i="35" s="1"/>
  <c r="B108" i="34"/>
  <c r="M110" i="35"/>
  <c r="E86" i="35" s="1"/>
  <c r="V86" i="35" s="1"/>
  <c r="B21" i="29"/>
  <c r="J98" i="34"/>
  <c r="K21" i="29" s="1"/>
  <c r="J71" i="34"/>
  <c r="B70" i="34"/>
  <c r="B78" i="34" s="1"/>
  <c r="C78" i="34" s="1"/>
  <c r="J76" i="34"/>
  <c r="J49" i="34"/>
  <c r="B103" i="34"/>
  <c r="J103" i="34" s="1"/>
  <c r="S107" i="34"/>
  <c r="J104" i="25"/>
  <c r="B108" i="25"/>
  <c r="B109" i="25"/>
  <c r="J109" i="25" s="1"/>
  <c r="V87" i="18"/>
  <c r="W87" i="18"/>
  <c r="AB87" i="18"/>
  <c r="AA130" i="18"/>
  <c r="AB130" i="18"/>
  <c r="AD87" i="18"/>
  <c r="Z87" i="18" s="1"/>
  <c r="Y131" i="18"/>
  <c r="N88" i="18"/>
  <c r="J88" i="18" s="1"/>
  <c r="R68" i="18"/>
  <c r="B69" i="18"/>
  <c r="B129" i="18"/>
  <c r="I132" i="18"/>
  <c r="B158" i="18"/>
  <c r="G128" i="18"/>
  <c r="H128" i="18"/>
  <c r="R128" i="18"/>
  <c r="K131" i="18"/>
  <c r="L131" i="18"/>
  <c r="G157" i="18"/>
  <c r="F157" i="18"/>
  <c r="R157" i="18"/>
  <c r="X127" i="18"/>
  <c r="W127" i="18"/>
  <c r="K143" i="18"/>
  <c r="N130" i="18"/>
  <c r="M130" i="18"/>
  <c r="M143" i="18" s="1"/>
  <c r="O130" i="18"/>
  <c r="W156" i="18"/>
  <c r="V156" i="18"/>
  <c r="G138" i="34"/>
  <c r="O138" i="34" s="1"/>
  <c r="P138" i="34" s="1"/>
  <c r="N138" i="34"/>
  <c r="C74" i="25"/>
  <c r="D74" i="25" s="1"/>
  <c r="L59" i="25"/>
  <c r="K74" i="25" s="1"/>
  <c r="L74" i="25" s="1"/>
  <c r="E60" i="25"/>
  <c r="M60" i="25" s="1"/>
  <c r="G60" i="25"/>
  <c r="O60" i="25" s="1"/>
  <c r="K60" i="25"/>
  <c r="K139" i="34" s="1"/>
  <c r="C139" i="34"/>
  <c r="F139" i="34" s="1"/>
  <c r="J60" i="25"/>
  <c r="F60" i="25"/>
  <c r="N60" i="25" s="1"/>
  <c r="D60" i="25"/>
  <c r="K158" i="25"/>
  <c r="M158" i="25" s="1"/>
  <c r="J158" i="25"/>
  <c r="L158" i="25" s="1"/>
  <c r="C61" i="25"/>
  <c r="N31" i="25"/>
  <c r="B61" i="25"/>
  <c r="B130" i="25"/>
  <c r="C130" i="25" s="1"/>
  <c r="L127" i="25" s="1"/>
  <c r="F32" i="25"/>
  <c r="L32" i="25"/>
  <c r="D33" i="25"/>
  <c r="G156" i="20"/>
  <c r="F156" i="20"/>
  <c r="Z97" i="20"/>
  <c r="V97" i="20"/>
  <c r="W97" i="20"/>
  <c r="AB97" i="20"/>
  <c r="S98" i="20"/>
  <c r="L98" i="20"/>
  <c r="G98" i="20"/>
  <c r="F98" i="20"/>
  <c r="B80" i="20"/>
  <c r="N99" i="20" s="1"/>
  <c r="J99" i="20" s="1"/>
  <c r="V80" i="20"/>
  <c r="K51" i="12"/>
  <c r="M35" i="12"/>
  <c r="B108" i="11"/>
  <c r="B111" i="11"/>
  <c r="N111" i="11" s="1"/>
  <c r="N83" i="11"/>
  <c r="H67" i="9"/>
  <c r="H69" i="9" s="1"/>
  <c r="M19" i="9"/>
  <c r="J70" i="9"/>
  <c r="H70" i="9"/>
  <c r="J37" i="9"/>
  <c r="B188" i="9"/>
  <c r="C188" i="9"/>
  <c r="E67" i="16"/>
  <c r="M67" i="16" s="1"/>
  <c r="G67" i="16"/>
  <c r="O67" i="16" s="1"/>
  <c r="K67" i="16"/>
  <c r="C68" i="16"/>
  <c r="O38" i="16"/>
  <c r="E66" i="15"/>
  <c r="M66" i="15" s="1"/>
  <c r="G66" i="15"/>
  <c r="O66" i="15" s="1"/>
  <c r="K66" i="15"/>
  <c r="C67" i="15"/>
  <c r="O37" i="15"/>
  <c r="O65" i="14"/>
  <c r="G79" i="14"/>
  <c r="O78" i="14" s="1"/>
  <c r="E66" i="14"/>
  <c r="M66" i="14" s="1"/>
  <c r="G66" i="14"/>
  <c r="K66" i="14"/>
  <c r="C67" i="14"/>
  <c r="O38" i="14"/>
  <c r="C74" i="13"/>
  <c r="D74" i="13" s="1"/>
  <c r="L60" i="13"/>
  <c r="K73" i="13" s="1"/>
  <c r="L73" i="13" s="1"/>
  <c r="N60" i="13"/>
  <c r="E74" i="13"/>
  <c r="M73" i="13" s="1"/>
  <c r="D61" i="13"/>
  <c r="F61" i="13"/>
  <c r="J61" i="13"/>
  <c r="B62" i="13"/>
  <c r="N33" i="13"/>
  <c r="F34" i="13"/>
  <c r="B122" i="13"/>
  <c r="D121" i="13"/>
  <c r="F121" i="13" s="1"/>
  <c r="U101" i="13" s="1"/>
  <c r="J107" i="13"/>
  <c r="L106" i="13"/>
  <c r="M106" i="13" s="1"/>
  <c r="J156" i="13"/>
  <c r="O105" i="13"/>
  <c r="P105" i="13"/>
  <c r="D77" i="15"/>
  <c r="L77" i="15" s="1"/>
  <c r="K77" i="15"/>
  <c r="C78" i="15"/>
  <c r="L61" i="15"/>
  <c r="D62" i="15"/>
  <c r="F62" i="15"/>
  <c r="N62" i="15" s="1"/>
  <c r="J62" i="15"/>
  <c r="B63" i="15"/>
  <c r="N33" i="15"/>
  <c r="F34" i="15"/>
  <c r="C79" i="16"/>
  <c r="D79" i="16" s="1"/>
  <c r="L62" i="16"/>
  <c r="K79" i="16" s="1"/>
  <c r="L79" i="16" s="1"/>
  <c r="D63" i="16"/>
  <c r="F63" i="16"/>
  <c r="N63" i="16" s="1"/>
  <c r="J63" i="16"/>
  <c r="B64" i="16"/>
  <c r="N34" i="16"/>
  <c r="F35" i="16"/>
  <c r="C75" i="14"/>
  <c r="D75" i="14" s="1"/>
  <c r="L61" i="14"/>
  <c r="K74" i="14" s="1"/>
  <c r="L74" i="14" s="1"/>
  <c r="N61" i="14"/>
  <c r="E75" i="14"/>
  <c r="M74" i="14" s="1"/>
  <c r="D62" i="14"/>
  <c r="F62" i="14"/>
  <c r="J62" i="14"/>
  <c r="B63" i="14"/>
  <c r="N34" i="14"/>
  <c r="F35" i="14"/>
  <c r="B123" i="14"/>
  <c r="D122" i="14"/>
  <c r="F122" i="14" s="1"/>
  <c r="J112" i="14"/>
  <c r="W107" i="14"/>
  <c r="S120" i="14" s="1"/>
  <c r="V107" i="14"/>
  <c r="N111" i="14"/>
  <c r="O111" i="14" s="1"/>
  <c r="K121" i="14" s="1"/>
  <c r="V119" i="14"/>
  <c r="U119" i="14"/>
  <c r="N120" i="14"/>
  <c r="O120" i="14"/>
  <c r="E69" i="21"/>
  <c r="M69" i="21" s="1"/>
  <c r="K69" i="21"/>
  <c r="M32" i="25"/>
  <c r="E33" i="25"/>
  <c r="J127" i="25"/>
  <c r="N126" i="25"/>
  <c r="O126" i="25" s="1"/>
  <c r="J137" i="25"/>
  <c r="K137" i="25" s="1"/>
  <c r="M137" i="25" s="1"/>
  <c r="N137" i="25" s="1"/>
  <c r="J175" i="25"/>
  <c r="K175" i="25"/>
  <c r="L175" i="25"/>
  <c r="M175" i="25" s="1"/>
  <c r="O175" i="25" s="1"/>
  <c r="P175" i="25" s="1"/>
  <c r="N126" i="13"/>
  <c r="O126" i="13"/>
  <c r="O157" i="13"/>
  <c r="N157" i="13"/>
  <c r="K127" i="13"/>
  <c r="K158" i="13"/>
  <c r="N174" i="13"/>
  <c r="O174" i="13"/>
  <c r="M63" i="13"/>
  <c r="U111" i="33"/>
  <c r="V111" i="33" s="1"/>
  <c r="U111" i="31"/>
  <c r="V111" i="31" s="1"/>
  <c r="U111" i="32"/>
  <c r="V111" i="32" s="1"/>
  <c r="O63" i="13"/>
  <c r="W116" i="13" s="1"/>
  <c r="G77" i="13"/>
  <c r="O76" i="13" s="1"/>
  <c r="K143" i="32"/>
  <c r="K143" i="31"/>
  <c r="K143" i="33"/>
  <c r="G143" i="32"/>
  <c r="O143" i="32" s="1"/>
  <c r="P143" i="32" s="1"/>
  <c r="N143" i="32"/>
  <c r="J128" i="13"/>
  <c r="J175" i="13"/>
  <c r="K175" i="13" s="1"/>
  <c r="G143" i="33"/>
  <c r="O143" i="33" s="1"/>
  <c r="P143" i="33" s="1"/>
  <c r="N143" i="33"/>
  <c r="G143" i="31"/>
  <c r="O143" i="31" s="1"/>
  <c r="P143" i="31" s="1"/>
  <c r="N143" i="31"/>
  <c r="E64" i="13"/>
  <c r="G64" i="13"/>
  <c r="K64" i="13"/>
  <c r="C144" i="32"/>
  <c r="F144" i="32" s="1"/>
  <c r="K110" i="13"/>
  <c r="C144" i="31"/>
  <c r="F144" i="31" s="1"/>
  <c r="C144" i="33"/>
  <c r="F144" i="33" s="1"/>
  <c r="O36" i="13"/>
  <c r="C65" i="13"/>
  <c r="G37" i="13"/>
  <c r="O37" i="13" s="1"/>
  <c r="M37" i="13"/>
  <c r="E38" i="13"/>
  <c r="B49" i="29"/>
  <c r="B39" i="29"/>
  <c r="K36" i="29"/>
  <c r="K100" i="29" s="1"/>
  <c r="B75" i="29"/>
  <c r="K68" i="29"/>
  <c r="V149" i="19"/>
  <c r="W149" i="19"/>
  <c r="X132" i="19"/>
  <c r="W132" i="19"/>
  <c r="L170" i="19"/>
  <c r="B172" i="19"/>
  <c r="D172" i="19" s="1"/>
  <c r="V162" i="19"/>
  <c r="W162" i="19" s="1"/>
  <c r="X162" i="19" s="1"/>
  <c r="F167" i="19"/>
  <c r="R167" i="19"/>
  <c r="T167" i="19" s="1"/>
  <c r="L176" i="19"/>
  <c r="L177" i="19"/>
  <c r="P114" i="14"/>
  <c r="L124" i="14" s="1"/>
  <c r="G154" i="19"/>
  <c r="F154" i="19"/>
  <c r="R150" i="19"/>
  <c r="D116" i="14"/>
  <c r="L115" i="14"/>
  <c r="M115" i="14" s="1"/>
  <c r="T117" i="13"/>
  <c r="V133" i="13" s="1"/>
  <c r="D115" i="13"/>
  <c r="X105" i="13" s="1"/>
  <c r="N96" i="19"/>
  <c r="J96" i="19" s="1"/>
  <c r="I134" i="19"/>
  <c r="B155" i="19"/>
  <c r="V78" i="19"/>
  <c r="B116" i="13"/>
  <c r="D116" i="13" s="1"/>
  <c r="X106" i="13" s="1"/>
  <c r="B117" i="14"/>
  <c r="B78" i="19"/>
  <c r="I79" i="19"/>
  <c r="S79" i="19"/>
  <c r="E80" i="19"/>
  <c r="F80" i="19" s="1"/>
  <c r="U98" i="19"/>
  <c r="R80" i="19" s="1"/>
  <c r="E99" i="19"/>
  <c r="U99" i="19" s="1"/>
  <c r="R81" i="19" s="1"/>
  <c r="N171" i="30"/>
  <c r="I175" i="30" s="1"/>
  <c r="AA120" i="7"/>
  <c r="AB120" i="7" s="1"/>
  <c r="J108" i="34" l="1"/>
  <c r="B109" i="34"/>
  <c r="L22" i="29"/>
  <c r="C22" i="29"/>
  <c r="M109" i="35"/>
  <c r="C86" i="35" s="1"/>
  <c r="T86" i="35" s="1"/>
  <c r="J70" i="34"/>
  <c r="J78" i="34" s="1"/>
  <c r="K78" i="34" s="1"/>
  <c r="B74" i="34"/>
  <c r="S110" i="34"/>
  <c r="AE9" i="35"/>
  <c r="AE10" i="35" s="1"/>
  <c r="C79" i="35"/>
  <c r="T79" i="35" s="1"/>
  <c r="B115" i="25"/>
  <c r="C115" i="25" s="1"/>
  <c r="J108" i="25"/>
  <c r="M112" i="25" s="1"/>
  <c r="N112" i="25" s="1"/>
  <c r="AA143" i="18"/>
  <c r="AD130" i="18"/>
  <c r="AC130" i="18"/>
  <c r="AC143" i="18" s="1"/>
  <c r="AE130" i="18"/>
  <c r="AA131" i="18"/>
  <c r="AB131" i="18"/>
  <c r="AD88" i="18"/>
  <c r="Z88" i="18" s="1"/>
  <c r="Y132" i="18"/>
  <c r="N89" i="18"/>
  <c r="J89" i="18" s="1"/>
  <c r="R69" i="18"/>
  <c r="B70" i="18"/>
  <c r="B130" i="18"/>
  <c r="I133" i="18"/>
  <c r="B159" i="18"/>
  <c r="G129" i="18"/>
  <c r="H129" i="18"/>
  <c r="R129" i="18"/>
  <c r="K132" i="18"/>
  <c r="L132" i="18"/>
  <c r="F158" i="18"/>
  <c r="G158" i="18"/>
  <c r="R158" i="18"/>
  <c r="X128" i="18"/>
  <c r="W128" i="18"/>
  <c r="K144" i="18"/>
  <c r="N131" i="18"/>
  <c r="M131" i="18"/>
  <c r="M144" i="18" s="1"/>
  <c r="O131" i="18"/>
  <c r="W157" i="18"/>
  <c r="V157" i="18"/>
  <c r="N139" i="34"/>
  <c r="G139" i="34"/>
  <c r="O139" i="34" s="1"/>
  <c r="P139" i="34" s="1"/>
  <c r="C75" i="25"/>
  <c r="D75" i="25" s="1"/>
  <c r="L60" i="25"/>
  <c r="K75" i="25" s="1"/>
  <c r="L75" i="25" s="1"/>
  <c r="E61" i="25"/>
  <c r="M61" i="25" s="1"/>
  <c r="G61" i="25"/>
  <c r="O61" i="25" s="1"/>
  <c r="K61" i="25"/>
  <c r="K140" i="34" s="1"/>
  <c r="C140" i="34"/>
  <c r="F140" i="34" s="1"/>
  <c r="J61" i="25"/>
  <c r="F61" i="25"/>
  <c r="N61" i="25" s="1"/>
  <c r="D61" i="25"/>
  <c r="K159" i="25"/>
  <c r="M159" i="25" s="1"/>
  <c r="J159" i="25"/>
  <c r="L159" i="25" s="1"/>
  <c r="C62" i="25"/>
  <c r="N32" i="25"/>
  <c r="B62" i="25"/>
  <c r="B131" i="25"/>
  <c r="C131" i="25" s="1"/>
  <c r="L128" i="25" s="1"/>
  <c r="F33" i="25"/>
  <c r="L33" i="25"/>
  <c r="D34" i="25"/>
  <c r="Z98" i="20"/>
  <c r="V98" i="20"/>
  <c r="W98" i="20"/>
  <c r="AB98" i="20"/>
  <c r="N108" i="11"/>
  <c r="H25" i="11"/>
  <c r="B86" i="25"/>
  <c r="B88" i="25" s="1"/>
  <c r="B90" i="25" s="1"/>
  <c r="B12" i="35"/>
  <c r="B32" i="32"/>
  <c r="B32" i="31"/>
  <c r="B13" i="24"/>
  <c r="B32" i="33"/>
  <c r="J67" i="9"/>
  <c r="J69" i="9"/>
  <c r="E68" i="16"/>
  <c r="M68" i="16" s="1"/>
  <c r="G68" i="16"/>
  <c r="O68" i="16" s="1"/>
  <c r="K68" i="16"/>
  <c r="E67" i="15"/>
  <c r="M67" i="15" s="1"/>
  <c r="G67" i="15"/>
  <c r="O67" i="15" s="1"/>
  <c r="K67" i="15"/>
  <c r="O66" i="14"/>
  <c r="G80" i="14"/>
  <c r="O79" i="14" s="1"/>
  <c r="E67" i="14"/>
  <c r="M67" i="14" s="1"/>
  <c r="G67" i="14"/>
  <c r="K67" i="14"/>
  <c r="C75" i="13"/>
  <c r="D75" i="13" s="1"/>
  <c r="L61" i="13"/>
  <c r="K74" i="13" s="1"/>
  <c r="L74" i="13" s="1"/>
  <c r="N61" i="13"/>
  <c r="E75" i="13"/>
  <c r="M74" i="13" s="1"/>
  <c r="D62" i="13"/>
  <c r="F62" i="13"/>
  <c r="J62" i="13"/>
  <c r="B63" i="13"/>
  <c r="N34" i="13"/>
  <c r="F35" i="13"/>
  <c r="B123" i="13"/>
  <c r="D122" i="13"/>
  <c r="F122" i="13" s="1"/>
  <c r="U102" i="13" s="1"/>
  <c r="J108" i="13"/>
  <c r="L107" i="13"/>
  <c r="M107" i="13" s="1"/>
  <c r="J157" i="13"/>
  <c r="P106" i="13"/>
  <c r="O106" i="13"/>
  <c r="D78" i="15"/>
  <c r="L78" i="15" s="1"/>
  <c r="K78" i="15"/>
  <c r="C79" i="15"/>
  <c r="L62" i="15"/>
  <c r="D63" i="15"/>
  <c r="F63" i="15"/>
  <c r="N63" i="15" s="1"/>
  <c r="J63" i="15"/>
  <c r="B64" i="15"/>
  <c r="N34" i="15"/>
  <c r="F35" i="15"/>
  <c r="C80" i="16"/>
  <c r="D80" i="16" s="1"/>
  <c r="L63" i="16"/>
  <c r="K80" i="16" s="1"/>
  <c r="L80" i="16" s="1"/>
  <c r="D64" i="16"/>
  <c r="F64" i="16"/>
  <c r="N64" i="16" s="1"/>
  <c r="J64" i="16"/>
  <c r="B65" i="16"/>
  <c r="N35" i="16"/>
  <c r="F36" i="16"/>
  <c r="C76" i="14"/>
  <c r="D76" i="14" s="1"/>
  <c r="L62" i="14"/>
  <c r="K75" i="14" s="1"/>
  <c r="L75" i="14" s="1"/>
  <c r="N62" i="14"/>
  <c r="E76" i="14"/>
  <c r="M75" i="14" s="1"/>
  <c r="D63" i="14"/>
  <c r="F63" i="14"/>
  <c r="J63" i="14"/>
  <c r="B64" i="14"/>
  <c r="N35" i="14"/>
  <c r="F36" i="14"/>
  <c r="B124" i="14"/>
  <c r="D123" i="14"/>
  <c r="F123" i="14" s="1"/>
  <c r="J113" i="14"/>
  <c r="W108" i="14"/>
  <c r="S121" i="14" s="1"/>
  <c r="N112" i="14"/>
  <c r="O112" i="14" s="1"/>
  <c r="K122" i="14" s="1"/>
  <c r="V108" i="14"/>
  <c r="V120" i="14"/>
  <c r="U120" i="14"/>
  <c r="O121" i="14"/>
  <c r="N121" i="14"/>
  <c r="K71" i="21"/>
  <c r="K72" i="21"/>
  <c r="M72" i="21" s="1"/>
  <c r="P72" i="21" s="1"/>
  <c r="M33" i="25"/>
  <c r="E34" i="25"/>
  <c r="J128" i="25"/>
  <c r="N127" i="25"/>
  <c r="O127" i="25" s="1"/>
  <c r="J138" i="25"/>
  <c r="K138" i="25" s="1"/>
  <c r="M138" i="25" s="1"/>
  <c r="J176" i="25"/>
  <c r="K176" i="25"/>
  <c r="L176" i="25"/>
  <c r="M176" i="25" s="1"/>
  <c r="O176" i="25" s="1"/>
  <c r="O127" i="13"/>
  <c r="N127" i="13"/>
  <c r="O158" i="13"/>
  <c r="N158" i="13"/>
  <c r="K128" i="13"/>
  <c r="K159" i="13"/>
  <c r="O175" i="13"/>
  <c r="N175" i="13"/>
  <c r="M64" i="13"/>
  <c r="U112" i="32"/>
  <c r="V112" i="32" s="1"/>
  <c r="U112" i="31"/>
  <c r="V112" i="31" s="1"/>
  <c r="U112" i="33"/>
  <c r="V112" i="33" s="1"/>
  <c r="O64" i="13"/>
  <c r="W117" i="13" s="1"/>
  <c r="G78" i="13"/>
  <c r="O77" i="13" s="1"/>
  <c r="K144" i="32"/>
  <c r="K144" i="31"/>
  <c r="K144" i="33"/>
  <c r="N144" i="32"/>
  <c r="G144" i="32"/>
  <c r="O144" i="32" s="1"/>
  <c r="P144" i="32" s="1"/>
  <c r="J129" i="13"/>
  <c r="J176" i="13"/>
  <c r="K176" i="13" s="1"/>
  <c r="G144" i="31"/>
  <c r="O144" i="31" s="1"/>
  <c r="P144" i="31" s="1"/>
  <c r="N144" i="31"/>
  <c r="G144" i="33"/>
  <c r="O144" i="33" s="1"/>
  <c r="P144" i="33" s="1"/>
  <c r="N144" i="33"/>
  <c r="E65" i="13"/>
  <c r="G65" i="13"/>
  <c r="K65" i="13"/>
  <c r="K111" i="13"/>
  <c r="C145" i="33"/>
  <c r="F145" i="33" s="1"/>
  <c r="C145" i="32"/>
  <c r="F145" i="32" s="1"/>
  <c r="C145" i="31"/>
  <c r="F145" i="31" s="1"/>
  <c r="G38" i="13"/>
  <c r="O38" i="13" s="1"/>
  <c r="M38" i="13"/>
  <c r="B51" i="29"/>
  <c r="C51" i="29" s="1"/>
  <c r="K49" i="29"/>
  <c r="K51" i="29" s="1"/>
  <c r="L51" i="29" s="1"/>
  <c r="B41" i="29"/>
  <c r="C41" i="29" s="1"/>
  <c r="K39" i="29"/>
  <c r="K41" i="29" s="1"/>
  <c r="L41" i="29" s="1"/>
  <c r="K115" i="29"/>
  <c r="K117" i="29"/>
  <c r="K119" i="29"/>
  <c r="K121" i="29"/>
  <c r="K122" i="29"/>
  <c r="B88" i="29"/>
  <c r="B78" i="29"/>
  <c r="K75" i="29"/>
  <c r="W150" i="19"/>
  <c r="V150" i="19"/>
  <c r="P115" i="14"/>
  <c r="L125" i="14" s="1"/>
  <c r="K134" i="19"/>
  <c r="L134" i="19"/>
  <c r="G155" i="19"/>
  <c r="F155" i="19"/>
  <c r="R151" i="19"/>
  <c r="D117" i="14"/>
  <c r="L116" i="14"/>
  <c r="M116" i="14" s="1"/>
  <c r="N97" i="19"/>
  <c r="J97" i="19" s="1"/>
  <c r="B156" i="19"/>
  <c r="V79" i="19"/>
  <c r="B118" i="14"/>
  <c r="B79" i="19"/>
  <c r="N98" i="19" s="1"/>
  <c r="J98" i="19" s="1"/>
  <c r="I80" i="19"/>
  <c r="S80" i="19"/>
  <c r="B110" i="34" l="1"/>
  <c r="J110" i="34" s="1"/>
  <c r="J109" i="34"/>
  <c r="J74" i="34"/>
  <c r="B80" i="34"/>
  <c r="J80" i="34" s="1"/>
  <c r="AA144" i="18"/>
  <c r="AD131" i="18"/>
  <c r="AC131" i="18"/>
  <c r="AC144" i="18" s="1"/>
  <c r="AE131" i="18"/>
  <c r="AA132" i="18"/>
  <c r="AB132" i="18"/>
  <c r="AD89" i="18"/>
  <c r="Z89" i="18" s="1"/>
  <c r="Y133" i="18"/>
  <c r="N90" i="18"/>
  <c r="J90" i="18" s="1"/>
  <c r="R70" i="18"/>
  <c r="B71" i="18"/>
  <c r="B131" i="18"/>
  <c r="I138" i="18"/>
  <c r="B160" i="18"/>
  <c r="G130" i="18"/>
  <c r="H130" i="18"/>
  <c r="R130" i="18"/>
  <c r="K133" i="18"/>
  <c r="L133" i="18"/>
  <c r="G159" i="18"/>
  <c r="F159" i="18"/>
  <c r="R159" i="18"/>
  <c r="X129" i="18"/>
  <c r="W129" i="18"/>
  <c r="K145" i="18"/>
  <c r="N132" i="18"/>
  <c r="M132" i="18"/>
  <c r="M145" i="18" s="1"/>
  <c r="O132" i="18"/>
  <c r="W158" i="18"/>
  <c r="V158" i="18"/>
  <c r="G140" i="34"/>
  <c r="O140" i="34" s="1"/>
  <c r="P140" i="34" s="1"/>
  <c r="N140" i="34"/>
  <c r="C76" i="25"/>
  <c r="D76" i="25" s="1"/>
  <c r="L61" i="25"/>
  <c r="K76" i="25" s="1"/>
  <c r="L76" i="25" s="1"/>
  <c r="E62" i="25"/>
  <c r="M62" i="25" s="1"/>
  <c r="G62" i="25"/>
  <c r="O62" i="25" s="1"/>
  <c r="K62" i="25"/>
  <c r="K141" i="34" s="1"/>
  <c r="C141" i="34"/>
  <c r="F141" i="34" s="1"/>
  <c r="J62" i="25"/>
  <c r="F62" i="25"/>
  <c r="N62" i="25" s="1"/>
  <c r="D62" i="25"/>
  <c r="K160" i="25"/>
  <c r="M160" i="25" s="1"/>
  <c r="J160" i="25"/>
  <c r="L160" i="25" s="1"/>
  <c r="C63" i="25"/>
  <c r="N33" i="25"/>
  <c r="B63" i="25"/>
  <c r="B132" i="25"/>
  <c r="C132" i="25" s="1"/>
  <c r="L129" i="25" s="1"/>
  <c r="F34" i="25"/>
  <c r="L34" i="25"/>
  <c r="D35" i="25"/>
  <c r="H41" i="11"/>
  <c r="K46" i="11" s="1"/>
  <c r="T25" i="11"/>
  <c r="T41" i="11" s="1"/>
  <c r="H41" i="35"/>
  <c r="S12" i="35"/>
  <c r="B102" i="32"/>
  <c r="B101" i="32"/>
  <c r="J32" i="32"/>
  <c r="B50" i="32"/>
  <c r="B74" i="32"/>
  <c r="B79" i="32"/>
  <c r="B101" i="31"/>
  <c r="B102" i="31"/>
  <c r="B74" i="31"/>
  <c r="J32" i="31"/>
  <c r="B50" i="31"/>
  <c r="B79" i="31"/>
  <c r="B127" i="24"/>
  <c r="B65" i="24"/>
  <c r="B26" i="24"/>
  <c r="K13" i="24"/>
  <c r="B101" i="33"/>
  <c r="B102" i="33"/>
  <c r="B74" i="33"/>
  <c r="J32" i="33"/>
  <c r="B79" i="33"/>
  <c r="B50" i="33"/>
  <c r="G81" i="14"/>
  <c r="O80" i="14" s="1"/>
  <c r="O67" i="14"/>
  <c r="C76" i="13"/>
  <c r="L62" i="13"/>
  <c r="K75" i="13" s="1"/>
  <c r="N62" i="13"/>
  <c r="E76" i="13"/>
  <c r="M75" i="13" s="1"/>
  <c r="D63" i="13"/>
  <c r="F63" i="13"/>
  <c r="J63" i="13"/>
  <c r="B64" i="13"/>
  <c r="N35" i="13"/>
  <c r="F36" i="13"/>
  <c r="B124" i="13"/>
  <c r="D123" i="13"/>
  <c r="F123" i="13" s="1"/>
  <c r="U103" i="13" s="1"/>
  <c r="J109" i="13"/>
  <c r="L108" i="13"/>
  <c r="M108" i="13" s="1"/>
  <c r="J158" i="13"/>
  <c r="O107" i="13"/>
  <c r="P107" i="13"/>
  <c r="D79" i="15"/>
  <c r="L79" i="15" s="1"/>
  <c r="K79" i="15"/>
  <c r="C80" i="15"/>
  <c r="K80" i="15" s="1"/>
  <c r="L63" i="15"/>
  <c r="D64" i="15"/>
  <c r="F64" i="15"/>
  <c r="N64" i="15" s="1"/>
  <c r="J64" i="15"/>
  <c r="B65" i="15"/>
  <c r="N35" i="15"/>
  <c r="F36" i="15"/>
  <c r="C81" i="16"/>
  <c r="L64" i="16"/>
  <c r="K81" i="16" s="1"/>
  <c r="D65" i="16"/>
  <c r="F65" i="16"/>
  <c r="N65" i="16" s="1"/>
  <c r="J65" i="16"/>
  <c r="B66" i="16"/>
  <c r="N36" i="16"/>
  <c r="F37" i="16"/>
  <c r="C77" i="14"/>
  <c r="L63" i="14"/>
  <c r="K76" i="14" s="1"/>
  <c r="N63" i="14"/>
  <c r="E77" i="14"/>
  <c r="M76" i="14" s="1"/>
  <c r="D64" i="14"/>
  <c r="F64" i="14"/>
  <c r="J64" i="14"/>
  <c r="B65" i="14"/>
  <c r="N36" i="14"/>
  <c r="F37" i="14"/>
  <c r="B125" i="14"/>
  <c r="D124" i="14"/>
  <c r="F124" i="14" s="1"/>
  <c r="J114" i="14"/>
  <c r="W109" i="14"/>
  <c r="S122" i="14" s="1"/>
  <c r="N113" i="14"/>
  <c r="O113" i="14" s="1"/>
  <c r="K123" i="14" s="1"/>
  <c r="V109" i="14"/>
  <c r="V121" i="14"/>
  <c r="U121" i="14"/>
  <c r="N122" i="14"/>
  <c r="O122" i="14"/>
  <c r="M74" i="21"/>
  <c r="N75" i="21" s="1"/>
  <c r="M71" i="21"/>
  <c r="P71" i="21" s="1"/>
  <c r="M34" i="25"/>
  <c r="E35" i="25"/>
  <c r="J129" i="25"/>
  <c r="N128" i="25"/>
  <c r="O128" i="25" s="1"/>
  <c r="J139" i="25"/>
  <c r="K139" i="25" s="1"/>
  <c r="M139" i="25" s="1"/>
  <c r="J177" i="25"/>
  <c r="K177" i="25"/>
  <c r="L177" i="25"/>
  <c r="M177" i="25" s="1"/>
  <c r="O177" i="25" s="1"/>
  <c r="N128" i="13"/>
  <c r="O128" i="13"/>
  <c r="O159" i="13"/>
  <c r="N159" i="13"/>
  <c r="K129" i="13"/>
  <c r="K160" i="13"/>
  <c r="N176" i="13"/>
  <c r="O176" i="13"/>
  <c r="M65" i="13"/>
  <c r="U113" i="33"/>
  <c r="V113" i="33" s="1"/>
  <c r="U113" i="31"/>
  <c r="V113" i="31" s="1"/>
  <c r="U113" i="32"/>
  <c r="V113" i="32" s="1"/>
  <c r="O65" i="13"/>
  <c r="G79" i="13"/>
  <c r="O78" i="13" s="1"/>
  <c r="K145" i="32"/>
  <c r="K145" i="31"/>
  <c r="K145" i="33"/>
  <c r="J130" i="13"/>
  <c r="J177" i="13"/>
  <c r="K177" i="13" s="1"/>
  <c r="N145" i="33"/>
  <c r="G145" i="33"/>
  <c r="O145" i="33" s="1"/>
  <c r="P145" i="33" s="1"/>
  <c r="G145" i="32"/>
  <c r="O145" i="32" s="1"/>
  <c r="P145" i="32" s="1"/>
  <c r="N145" i="32"/>
  <c r="G145" i="31"/>
  <c r="O145" i="31" s="1"/>
  <c r="P145" i="31" s="1"/>
  <c r="N145" i="31"/>
  <c r="B90" i="29"/>
  <c r="C90" i="29" s="1"/>
  <c r="K88" i="29"/>
  <c r="K90" i="29" s="1"/>
  <c r="L90" i="29" s="1"/>
  <c r="B80" i="29"/>
  <c r="C80" i="29" s="1"/>
  <c r="K78" i="29"/>
  <c r="K80" i="29" s="1"/>
  <c r="L80" i="29" s="1"/>
  <c r="K143" i="19"/>
  <c r="N134" i="19"/>
  <c r="M134" i="19"/>
  <c r="M143" i="19" s="1"/>
  <c r="O134" i="19"/>
  <c r="AE135" i="19"/>
  <c r="V151" i="19"/>
  <c r="W151" i="19"/>
  <c r="P116" i="14"/>
  <c r="L126" i="14" s="1"/>
  <c r="G156" i="19"/>
  <c r="F156" i="19"/>
  <c r="D118" i="14"/>
  <c r="L117" i="14"/>
  <c r="M117" i="14" s="1"/>
  <c r="V80" i="19"/>
  <c r="B80" i="19"/>
  <c r="N99" i="19" s="1"/>
  <c r="J99" i="19" s="1"/>
  <c r="K123" i="29"/>
  <c r="AA145" i="18" l="1"/>
  <c r="AD132" i="18"/>
  <c r="AC132" i="18"/>
  <c r="AC145" i="18" s="1"/>
  <c r="AE132" i="18"/>
  <c r="AA133" i="18"/>
  <c r="AB133" i="18"/>
  <c r="AD90" i="18"/>
  <c r="Z90" i="18" s="1"/>
  <c r="Y138" i="18"/>
  <c r="N91" i="18"/>
  <c r="J91" i="18" s="1"/>
  <c r="R71" i="18"/>
  <c r="B72" i="18"/>
  <c r="B132" i="18"/>
  <c r="I139" i="18"/>
  <c r="B161" i="18"/>
  <c r="G131" i="18"/>
  <c r="H131" i="18"/>
  <c r="R131" i="18"/>
  <c r="K138" i="18"/>
  <c r="L138" i="18"/>
  <c r="F160" i="18"/>
  <c r="G160" i="18"/>
  <c r="R160" i="18"/>
  <c r="X130" i="18"/>
  <c r="W130" i="18"/>
  <c r="K146" i="18"/>
  <c r="N133" i="18"/>
  <c r="M133" i="18"/>
  <c r="M146" i="18" s="1"/>
  <c r="O133" i="18"/>
  <c r="W159" i="18"/>
  <c r="V159" i="18"/>
  <c r="G141" i="34"/>
  <c r="O141" i="34" s="1"/>
  <c r="P141" i="34" s="1"/>
  <c r="N141" i="34"/>
  <c r="C77" i="25"/>
  <c r="L62" i="25"/>
  <c r="K77" i="25" s="1"/>
  <c r="E63" i="25"/>
  <c r="M63" i="25" s="1"/>
  <c r="G63" i="25"/>
  <c r="O63" i="25" s="1"/>
  <c r="K63" i="25"/>
  <c r="K142" i="34" s="1"/>
  <c r="C142" i="34"/>
  <c r="F142" i="34" s="1"/>
  <c r="J63" i="25"/>
  <c r="F63" i="25"/>
  <c r="N63" i="25" s="1"/>
  <c r="D63" i="25"/>
  <c r="K161" i="25"/>
  <c r="M161" i="25" s="1"/>
  <c r="J161" i="25"/>
  <c r="L161" i="25" s="1"/>
  <c r="C64" i="25"/>
  <c r="N34" i="25"/>
  <c r="B64" i="25"/>
  <c r="F35" i="25"/>
  <c r="B133" i="25"/>
  <c r="C133" i="25" s="1"/>
  <c r="L130" i="25" s="1"/>
  <c r="L35" i="25"/>
  <c r="D36" i="25"/>
  <c r="K51" i="11"/>
  <c r="W46" i="11"/>
  <c r="W51" i="11" s="1"/>
  <c r="E91" i="7"/>
  <c r="F91" i="7" s="1"/>
  <c r="G77" i="35"/>
  <c r="G76" i="35"/>
  <c r="E75" i="35"/>
  <c r="B13" i="36"/>
  <c r="Y41" i="35"/>
  <c r="E77" i="35"/>
  <c r="V77" i="35" s="1"/>
  <c r="E76" i="35"/>
  <c r="V76" i="35" s="1"/>
  <c r="J102" i="32"/>
  <c r="G110" i="35"/>
  <c r="J101" i="32"/>
  <c r="B116" i="32"/>
  <c r="J50" i="32"/>
  <c r="B106" i="32"/>
  <c r="S108" i="32"/>
  <c r="S111" i="32" s="1"/>
  <c r="S118" i="32"/>
  <c r="S119" i="32" s="1"/>
  <c r="B73" i="32"/>
  <c r="B81" i="32" s="1"/>
  <c r="C81" i="32" s="1"/>
  <c r="J74" i="32"/>
  <c r="J79" i="32"/>
  <c r="J101" i="31"/>
  <c r="B116" i="31"/>
  <c r="J102" i="31"/>
  <c r="F110" i="35"/>
  <c r="B73" i="31"/>
  <c r="J74" i="31"/>
  <c r="J50" i="31"/>
  <c r="B106" i="31"/>
  <c r="S108" i="31"/>
  <c r="S111" i="31" s="1"/>
  <c r="S118" i="31"/>
  <c r="S119" i="31" s="1"/>
  <c r="J79" i="31"/>
  <c r="B81" i="31"/>
  <c r="C81" i="31" s="1"/>
  <c r="G80" i="35"/>
  <c r="B131" i="24"/>
  <c r="K127" i="24"/>
  <c r="B69" i="24"/>
  <c r="K65" i="24"/>
  <c r="B29" i="24"/>
  <c r="K26" i="24"/>
  <c r="B116" i="33"/>
  <c r="J101" i="33"/>
  <c r="H110" i="35"/>
  <c r="E85" i="35" s="1"/>
  <c r="V85" i="35" s="1"/>
  <c r="J102" i="33"/>
  <c r="J74" i="33"/>
  <c r="B73" i="33"/>
  <c r="B81" i="33"/>
  <c r="C81" i="33" s="1"/>
  <c r="J79" i="33"/>
  <c r="S108" i="33"/>
  <c r="S111" i="33" s="1"/>
  <c r="J50" i="33"/>
  <c r="B106" i="33"/>
  <c r="S118" i="33"/>
  <c r="S119" i="33" s="1"/>
  <c r="C77" i="13"/>
  <c r="L63" i="13"/>
  <c r="K76" i="13" s="1"/>
  <c r="N63" i="13"/>
  <c r="E77" i="13"/>
  <c r="M76" i="13" s="1"/>
  <c r="D64" i="13"/>
  <c r="F64" i="13"/>
  <c r="J64" i="13"/>
  <c r="B65" i="13"/>
  <c r="N36" i="13"/>
  <c r="F37" i="13"/>
  <c r="B125" i="13"/>
  <c r="J110" i="13"/>
  <c r="D124" i="13"/>
  <c r="F124" i="13" s="1"/>
  <c r="U104" i="13" s="1"/>
  <c r="L109" i="13"/>
  <c r="M109" i="13" s="1"/>
  <c r="J159" i="13"/>
  <c r="O108" i="13"/>
  <c r="P108" i="13"/>
  <c r="C81" i="15"/>
  <c r="K81" i="15" s="1"/>
  <c r="L64" i="15"/>
  <c r="D65" i="15"/>
  <c r="F65" i="15"/>
  <c r="N65" i="15" s="1"/>
  <c r="J65" i="15"/>
  <c r="B66" i="15"/>
  <c r="N36" i="15"/>
  <c r="F37" i="15"/>
  <c r="C82" i="16"/>
  <c r="L65" i="16"/>
  <c r="K82" i="16" s="1"/>
  <c r="D66" i="16"/>
  <c r="F66" i="16"/>
  <c r="N66" i="16" s="1"/>
  <c r="J66" i="16"/>
  <c r="B67" i="16"/>
  <c r="N37" i="16"/>
  <c r="F38" i="16"/>
  <c r="C78" i="14"/>
  <c r="L64" i="14"/>
  <c r="K77" i="14" s="1"/>
  <c r="N64" i="14"/>
  <c r="E78" i="14"/>
  <c r="M77" i="14" s="1"/>
  <c r="D65" i="14"/>
  <c r="F65" i="14"/>
  <c r="J65" i="14"/>
  <c r="B66" i="14"/>
  <c r="N37" i="14"/>
  <c r="F38" i="14"/>
  <c r="B126" i="14"/>
  <c r="D125" i="14"/>
  <c r="F125" i="14" s="1"/>
  <c r="J115" i="14"/>
  <c r="W110" i="14"/>
  <c r="S123" i="14" s="1"/>
  <c r="N114" i="14"/>
  <c r="O114" i="14" s="1"/>
  <c r="K124" i="14" s="1"/>
  <c r="V110" i="14"/>
  <c r="V122" i="14"/>
  <c r="U122" i="14"/>
  <c r="N123" i="14"/>
  <c r="O123" i="14"/>
  <c r="M35" i="25"/>
  <c r="E36" i="25"/>
  <c r="J130" i="25"/>
  <c r="N129" i="25"/>
  <c r="O129" i="25" s="1"/>
  <c r="J140" i="25"/>
  <c r="K140" i="25" s="1"/>
  <c r="M140" i="25" s="1"/>
  <c r="J178" i="25"/>
  <c r="K178" i="25"/>
  <c r="L178" i="25"/>
  <c r="M178" i="25" s="1"/>
  <c r="O178" i="25" s="1"/>
  <c r="N129" i="13"/>
  <c r="O129" i="13"/>
  <c r="O160" i="13"/>
  <c r="N160" i="13"/>
  <c r="K161" i="13"/>
  <c r="K130" i="13"/>
  <c r="O177" i="13"/>
  <c r="N177" i="13"/>
  <c r="P117" i="14"/>
  <c r="L127" i="14" s="1"/>
  <c r="AA146" i="18" l="1"/>
  <c r="AD133" i="18"/>
  <c r="AC133" i="18"/>
  <c r="AC146" i="18" s="1"/>
  <c r="AE133" i="18"/>
  <c r="AA138" i="18"/>
  <c r="AB138" i="18"/>
  <c r="AD91" i="18"/>
  <c r="Z91" i="18" s="1"/>
  <c r="Y139" i="18"/>
  <c r="R72" i="18"/>
  <c r="B73" i="18"/>
  <c r="I140" i="18"/>
  <c r="G132" i="18"/>
  <c r="H132" i="18"/>
  <c r="R132" i="18"/>
  <c r="K139" i="18"/>
  <c r="L139" i="18"/>
  <c r="G161" i="18"/>
  <c r="F161" i="18"/>
  <c r="R161" i="18"/>
  <c r="X131" i="18"/>
  <c r="W131" i="18"/>
  <c r="K147" i="18"/>
  <c r="N138" i="18"/>
  <c r="M138" i="18"/>
  <c r="M147" i="18" s="1"/>
  <c r="O138" i="18"/>
  <c r="W160" i="18"/>
  <c r="V160" i="18"/>
  <c r="N142" i="34"/>
  <c r="G142" i="34"/>
  <c r="O142" i="34" s="1"/>
  <c r="P142" i="34" s="1"/>
  <c r="C78" i="25"/>
  <c r="L63" i="25"/>
  <c r="K78" i="25" s="1"/>
  <c r="E64" i="25"/>
  <c r="M64" i="25" s="1"/>
  <c r="G64" i="25"/>
  <c r="O64" i="25" s="1"/>
  <c r="K64" i="25"/>
  <c r="K143" i="34" s="1"/>
  <c r="C143" i="34"/>
  <c r="F143" i="34" s="1"/>
  <c r="J64" i="25"/>
  <c r="F64" i="25"/>
  <c r="N64" i="25" s="1"/>
  <c r="D64" i="25"/>
  <c r="C65" i="25"/>
  <c r="N35" i="25"/>
  <c r="B65" i="25"/>
  <c r="K162" i="25"/>
  <c r="M162" i="25" s="1"/>
  <c r="J162" i="25"/>
  <c r="L162" i="25" s="1"/>
  <c r="B134" i="25"/>
  <c r="C134" i="25" s="1"/>
  <c r="L131" i="25" s="1"/>
  <c r="F36" i="25"/>
  <c r="L36" i="25"/>
  <c r="D37" i="25"/>
  <c r="X77" i="35"/>
  <c r="H77" i="35"/>
  <c r="Y77" i="35" s="1"/>
  <c r="X76" i="35"/>
  <c r="H76" i="35"/>
  <c r="Y76" i="35" s="1"/>
  <c r="V75" i="35"/>
  <c r="AC77" i="35" s="1"/>
  <c r="L77" i="35"/>
  <c r="E79" i="35"/>
  <c r="V79" i="35" s="1"/>
  <c r="K13" i="36"/>
  <c r="B18" i="36"/>
  <c r="J116" i="32"/>
  <c r="B117" i="32"/>
  <c r="B109" i="32"/>
  <c r="C109" i="32" s="1"/>
  <c r="V157" i="32"/>
  <c r="J106" i="32"/>
  <c r="J109" i="32" s="1"/>
  <c r="K109" i="32" s="1"/>
  <c r="B175" i="32"/>
  <c r="B77" i="32"/>
  <c r="G109" i="35"/>
  <c r="J73" i="32"/>
  <c r="J81" i="32" s="1"/>
  <c r="K81" i="32" s="1"/>
  <c r="J116" i="31"/>
  <c r="B117" i="31"/>
  <c r="J73" i="31"/>
  <c r="J81" i="31" s="1"/>
  <c r="K81" i="31" s="1"/>
  <c r="B77" i="31"/>
  <c r="F109" i="35"/>
  <c r="B109" i="31"/>
  <c r="C109" i="31" s="1"/>
  <c r="J106" i="31"/>
  <c r="J109" i="31" s="1"/>
  <c r="K109" i="31" s="1"/>
  <c r="V157" i="31"/>
  <c r="B175" i="31"/>
  <c r="H80" i="35"/>
  <c r="Y80" i="35" s="1"/>
  <c r="X80" i="35"/>
  <c r="B133" i="24"/>
  <c r="C133" i="24" s="1"/>
  <c r="E141" i="24"/>
  <c r="E150" i="24"/>
  <c r="K131" i="24"/>
  <c r="K133" i="24" s="1"/>
  <c r="L133" i="24" s="1"/>
  <c r="E79" i="24"/>
  <c r="E88" i="24"/>
  <c r="B71" i="24"/>
  <c r="K69" i="24"/>
  <c r="B31" i="24"/>
  <c r="C31" i="24" s="1"/>
  <c r="E47" i="24"/>
  <c r="E38" i="24"/>
  <c r="K29" i="24"/>
  <c r="K31" i="24" s="1"/>
  <c r="L31" i="24" s="1"/>
  <c r="J116" i="33"/>
  <c r="B117" i="33"/>
  <c r="J73" i="33"/>
  <c r="J81" i="33" s="1"/>
  <c r="K81" i="33" s="1"/>
  <c r="B77" i="33"/>
  <c r="H109" i="35"/>
  <c r="C85" i="35" s="1"/>
  <c r="T85" i="35" s="1"/>
  <c r="B109" i="33"/>
  <c r="C109" i="33" s="1"/>
  <c r="B176" i="33"/>
  <c r="V158" i="33"/>
  <c r="J106" i="33"/>
  <c r="J109" i="33" s="1"/>
  <c r="K109" i="33" s="1"/>
  <c r="C78" i="13"/>
  <c r="L64" i="13"/>
  <c r="K77" i="13" s="1"/>
  <c r="N64" i="13"/>
  <c r="E78" i="13"/>
  <c r="M77" i="13" s="1"/>
  <c r="D65" i="13"/>
  <c r="F65" i="13"/>
  <c r="J65" i="13"/>
  <c r="N37" i="13"/>
  <c r="F38" i="13"/>
  <c r="N38" i="13" s="1"/>
  <c r="J111" i="13"/>
  <c r="D125" i="13"/>
  <c r="F125" i="13" s="1"/>
  <c r="U105" i="13" s="1"/>
  <c r="J160" i="13"/>
  <c r="L110" i="13"/>
  <c r="M110" i="13" s="1"/>
  <c r="O109" i="13"/>
  <c r="P109" i="13"/>
  <c r="C82" i="15"/>
  <c r="K82" i="15" s="1"/>
  <c r="L65" i="15"/>
  <c r="D66" i="15"/>
  <c r="F66" i="15"/>
  <c r="N66" i="15" s="1"/>
  <c r="J66" i="15"/>
  <c r="B67" i="15"/>
  <c r="N37" i="15"/>
  <c r="C83" i="16"/>
  <c r="L66" i="16"/>
  <c r="K83" i="16" s="1"/>
  <c r="D67" i="16"/>
  <c r="F67" i="16"/>
  <c r="N67" i="16" s="1"/>
  <c r="J67" i="16"/>
  <c r="B68" i="16"/>
  <c r="N38" i="16"/>
  <c r="C79" i="14"/>
  <c r="L65" i="14"/>
  <c r="K78" i="14" s="1"/>
  <c r="N65" i="14"/>
  <c r="E79" i="14"/>
  <c r="M78" i="14" s="1"/>
  <c r="D66" i="14"/>
  <c r="F66" i="14"/>
  <c r="J66" i="14"/>
  <c r="B67" i="14"/>
  <c r="N38" i="14"/>
  <c r="B127" i="14"/>
  <c r="D126" i="14"/>
  <c r="F126" i="14" s="1"/>
  <c r="J116" i="14"/>
  <c r="W111" i="14"/>
  <c r="S124" i="14" s="1"/>
  <c r="N115" i="14"/>
  <c r="O115" i="14" s="1"/>
  <c r="K125" i="14" s="1"/>
  <c r="V111" i="14"/>
  <c r="V123" i="14"/>
  <c r="U123" i="14"/>
  <c r="O124" i="14"/>
  <c r="N124" i="14"/>
  <c r="M36" i="25"/>
  <c r="E37" i="25"/>
  <c r="J131" i="25"/>
  <c r="N130" i="25"/>
  <c r="O130" i="25" s="1"/>
  <c r="J141" i="25"/>
  <c r="K141" i="25" s="1"/>
  <c r="M141" i="25" s="1"/>
  <c r="J179" i="25"/>
  <c r="K179" i="25"/>
  <c r="L179" i="25"/>
  <c r="M179" i="25" s="1"/>
  <c r="O179" i="25" s="1"/>
  <c r="O161" i="13"/>
  <c r="N161" i="13"/>
  <c r="O130" i="13"/>
  <c r="N130" i="13"/>
  <c r="AA147" i="18" l="1"/>
  <c r="AD138" i="18"/>
  <c r="AC138" i="18"/>
  <c r="AC147" i="18" s="1"/>
  <c r="AE138" i="18"/>
  <c r="AA139" i="18"/>
  <c r="AB139" i="18"/>
  <c r="R73" i="18"/>
  <c r="B74" i="18"/>
  <c r="K140" i="18"/>
  <c r="N140" i="18" s="1"/>
  <c r="L140" i="18"/>
  <c r="X132" i="18"/>
  <c r="W132" i="18"/>
  <c r="K148" i="18"/>
  <c r="N139" i="18"/>
  <c r="M139" i="18"/>
  <c r="M148" i="18" s="1"/>
  <c r="O139" i="18"/>
  <c r="W161" i="18"/>
  <c r="V161" i="18"/>
  <c r="N143" i="34"/>
  <c r="G143" i="34"/>
  <c r="O143" i="34" s="1"/>
  <c r="P143" i="34" s="1"/>
  <c r="C79" i="25"/>
  <c r="L64" i="25"/>
  <c r="K79" i="25" s="1"/>
  <c r="E65" i="25"/>
  <c r="M65" i="25" s="1"/>
  <c r="G65" i="25"/>
  <c r="O65" i="25" s="1"/>
  <c r="K65" i="25"/>
  <c r="K144" i="34" s="1"/>
  <c r="C144" i="34"/>
  <c r="F144" i="34" s="1"/>
  <c r="J65" i="25"/>
  <c r="F65" i="25"/>
  <c r="N65" i="25" s="1"/>
  <c r="D65" i="25"/>
  <c r="K163" i="25"/>
  <c r="M163" i="25" s="1"/>
  <c r="J163" i="25"/>
  <c r="L163" i="25" s="1"/>
  <c r="C66" i="25"/>
  <c r="N36" i="25"/>
  <c r="B66" i="25"/>
  <c r="F37" i="25"/>
  <c r="L37" i="25"/>
  <c r="K18" i="36"/>
  <c r="B30" i="38"/>
  <c r="K30" i="38" s="1"/>
  <c r="B20" i="36"/>
  <c r="J117" i="32"/>
  <c r="B118" i="32"/>
  <c r="V160" i="32"/>
  <c r="V162" i="32"/>
  <c r="V164" i="32" s="1"/>
  <c r="B197" i="32"/>
  <c r="B198" i="32"/>
  <c r="J175" i="32"/>
  <c r="J77" i="32"/>
  <c r="B83" i="32"/>
  <c r="J83" i="32" s="1"/>
  <c r="J117" i="31"/>
  <c r="B118" i="31"/>
  <c r="J77" i="31"/>
  <c r="B83" i="31"/>
  <c r="J83" i="31" s="1"/>
  <c r="V160" i="31"/>
  <c r="V162" i="31"/>
  <c r="V164" i="31" s="1"/>
  <c r="B197" i="31"/>
  <c r="J175" i="31"/>
  <c r="B198" i="31"/>
  <c r="E142" i="24"/>
  <c r="E143" i="24" s="1"/>
  <c r="N141" i="24"/>
  <c r="N142" i="24" s="1"/>
  <c r="N143" i="24" s="1"/>
  <c r="E151" i="24"/>
  <c r="E152" i="24" s="1"/>
  <c r="N150" i="24"/>
  <c r="N151" i="24" s="1"/>
  <c r="N152" i="24" s="1"/>
  <c r="E80" i="24"/>
  <c r="E81" i="24" s="1"/>
  <c r="N79" i="24"/>
  <c r="N80" i="24" s="1"/>
  <c r="N81" i="24" s="1"/>
  <c r="E89" i="24"/>
  <c r="E90" i="24" s="1"/>
  <c r="N88" i="24"/>
  <c r="N89" i="24" s="1"/>
  <c r="N90" i="24" s="1"/>
  <c r="K71" i="24"/>
  <c r="L71" i="24" s="1"/>
  <c r="C71" i="24"/>
  <c r="E48" i="24"/>
  <c r="E49" i="24" s="1"/>
  <c r="N47" i="24"/>
  <c r="N48" i="24" s="1"/>
  <c r="N49" i="24" s="1"/>
  <c r="E39" i="24"/>
  <c r="E40" i="24" s="1"/>
  <c r="N38" i="24"/>
  <c r="N39" i="24" s="1"/>
  <c r="N40" i="24" s="1"/>
  <c r="B118" i="33"/>
  <c r="B18" i="35"/>
  <c r="J117" i="33"/>
  <c r="B83" i="33"/>
  <c r="J83" i="33" s="1"/>
  <c r="J77" i="33"/>
  <c r="B198" i="33"/>
  <c r="J176" i="33"/>
  <c r="B200" i="33"/>
  <c r="V161" i="33"/>
  <c r="V163" i="33"/>
  <c r="V165" i="33" s="1"/>
  <c r="C79" i="13"/>
  <c r="L65" i="13"/>
  <c r="K78" i="13" s="1"/>
  <c r="N65" i="13"/>
  <c r="E79" i="13"/>
  <c r="M78" i="13" s="1"/>
  <c r="L111" i="13"/>
  <c r="M111" i="13" s="1"/>
  <c r="J161" i="13"/>
  <c r="O110" i="13"/>
  <c r="P110" i="13"/>
  <c r="C83" i="15"/>
  <c r="K83" i="15" s="1"/>
  <c r="L66" i="15"/>
  <c r="D67" i="15"/>
  <c r="F67" i="15"/>
  <c r="N67" i="15" s="1"/>
  <c r="J67" i="15"/>
  <c r="C84" i="16"/>
  <c r="L67" i="16"/>
  <c r="K84" i="16" s="1"/>
  <c r="D68" i="16"/>
  <c r="F68" i="16"/>
  <c r="N68" i="16" s="1"/>
  <c r="J68" i="16"/>
  <c r="C80" i="14"/>
  <c r="L66" i="14"/>
  <c r="K79" i="14" s="1"/>
  <c r="N66" i="14"/>
  <c r="E80" i="14"/>
  <c r="M79" i="14" s="1"/>
  <c r="D67" i="14"/>
  <c r="F67" i="14"/>
  <c r="J67" i="14"/>
  <c r="D127" i="14"/>
  <c r="F127" i="14" s="1"/>
  <c r="J117" i="14"/>
  <c r="W112" i="14"/>
  <c r="S125" i="14" s="1"/>
  <c r="N116" i="14"/>
  <c r="O116" i="14" s="1"/>
  <c r="K126" i="14" s="1"/>
  <c r="V112" i="14"/>
  <c r="V124" i="14"/>
  <c r="U124" i="14"/>
  <c r="N125" i="14"/>
  <c r="O125" i="14"/>
  <c r="M37" i="25"/>
  <c r="J132" i="25"/>
  <c r="N131" i="25"/>
  <c r="O131" i="25" s="1"/>
  <c r="J142" i="25"/>
  <c r="K142" i="25" s="1"/>
  <c r="M142" i="25" s="1"/>
  <c r="J180" i="25"/>
  <c r="K180" i="25"/>
  <c r="L180" i="25"/>
  <c r="M180" i="25" s="1"/>
  <c r="O180" i="25" s="1"/>
  <c r="AA148" i="18" l="1"/>
  <c r="AD139" i="18"/>
  <c r="AC139" i="18"/>
  <c r="AC148" i="18" s="1"/>
  <c r="AE139" i="18"/>
  <c r="R74" i="18"/>
  <c r="B75" i="18"/>
  <c r="M140" i="18"/>
  <c r="O140" i="18"/>
  <c r="G144" i="34"/>
  <c r="O144" i="34" s="1"/>
  <c r="P144" i="34" s="1"/>
  <c r="N144" i="34"/>
  <c r="C80" i="25"/>
  <c r="L65" i="25"/>
  <c r="K80" i="25" s="1"/>
  <c r="E66" i="25"/>
  <c r="M66" i="25" s="1"/>
  <c r="G66" i="25"/>
  <c r="O66" i="25" s="1"/>
  <c r="K66" i="25"/>
  <c r="K145" i="34" s="1"/>
  <c r="C145" i="34"/>
  <c r="F145" i="34" s="1"/>
  <c r="J66" i="25"/>
  <c r="F66" i="25"/>
  <c r="N66" i="25" s="1"/>
  <c r="D66" i="25"/>
  <c r="C67" i="25"/>
  <c r="N37" i="25"/>
  <c r="B67" i="25"/>
  <c r="K20" i="36"/>
  <c r="P31" i="36" s="1"/>
  <c r="P32" i="36" s="1"/>
  <c r="E31" i="36"/>
  <c r="E32" i="36" s="1"/>
  <c r="B120" i="32"/>
  <c r="C120" i="32" s="1"/>
  <c r="J118" i="32"/>
  <c r="J120" i="32" s="1"/>
  <c r="K120" i="32" s="1"/>
  <c r="J197" i="32"/>
  <c r="B199" i="32"/>
  <c r="J198" i="32"/>
  <c r="B120" i="31"/>
  <c r="C120" i="31" s="1"/>
  <c r="J118" i="31"/>
  <c r="J120" i="31" s="1"/>
  <c r="K120" i="31" s="1"/>
  <c r="J197" i="31"/>
  <c r="B199" i="31"/>
  <c r="J198" i="31"/>
  <c r="B120" i="33"/>
  <c r="C120" i="33" s="1"/>
  <c r="J118" i="33"/>
  <c r="J120" i="33" s="1"/>
  <c r="K120" i="33" s="1"/>
  <c r="H79" i="35"/>
  <c r="S18" i="35"/>
  <c r="B31" i="38"/>
  <c r="J198" i="33"/>
  <c r="B202" i="33"/>
  <c r="J200" i="33"/>
  <c r="P111" i="13"/>
  <c r="O111" i="13"/>
  <c r="C84" i="15"/>
  <c r="K84" i="15" s="1"/>
  <c r="L67" i="15"/>
  <c r="C85" i="16"/>
  <c r="L68" i="16"/>
  <c r="K85" i="16" s="1"/>
  <c r="C81" i="14"/>
  <c r="L67" i="14"/>
  <c r="K80" i="14" s="1"/>
  <c r="E81" i="14"/>
  <c r="M80" i="14" s="1"/>
  <c r="N67" i="14"/>
  <c r="W113" i="14"/>
  <c r="S126" i="14" s="1"/>
  <c r="N117" i="14"/>
  <c r="O117" i="14" s="1"/>
  <c r="K127" i="14" s="1"/>
  <c r="V113" i="14"/>
  <c r="V125" i="14"/>
  <c r="U125" i="14"/>
  <c r="N126" i="14"/>
  <c r="O126" i="14"/>
  <c r="N132" i="25"/>
  <c r="O132" i="25" s="1"/>
  <c r="J143" i="25"/>
  <c r="K143" i="25" s="1"/>
  <c r="M143" i="25" s="1"/>
  <c r="J181" i="25"/>
  <c r="K181" i="25"/>
  <c r="L181" i="25"/>
  <c r="M181" i="25" s="1"/>
  <c r="O181" i="25" s="1"/>
  <c r="V167" i="31"/>
  <c r="V168" i="31" s="1"/>
  <c r="V168" i="33"/>
  <c r="V169" i="33" s="1"/>
  <c r="V167" i="32"/>
  <c r="V168" i="32" s="1"/>
  <c r="R75" i="18" l="1"/>
  <c r="B76" i="18"/>
  <c r="N145" i="34"/>
  <c r="G145" i="34"/>
  <c r="O145" i="34" s="1"/>
  <c r="P145" i="34" s="1"/>
  <c r="C81" i="25"/>
  <c r="L66" i="25"/>
  <c r="K81" i="25" s="1"/>
  <c r="E67" i="25"/>
  <c r="M67" i="25" s="1"/>
  <c r="G67" i="25"/>
  <c r="O67" i="25" s="1"/>
  <c r="K67" i="25"/>
  <c r="K146" i="34" s="1"/>
  <c r="C146" i="34"/>
  <c r="F146" i="34" s="1"/>
  <c r="J67" i="25"/>
  <c r="F67" i="25"/>
  <c r="N67" i="25" s="1"/>
  <c r="D67" i="25"/>
  <c r="G79" i="35"/>
  <c r="X79" i="35" s="1"/>
  <c r="Y79" i="35"/>
  <c r="T42" i="38"/>
  <c r="T43" i="38"/>
  <c r="B44" i="38" s="1"/>
  <c r="B42" i="38"/>
  <c r="K42" i="38" s="1"/>
  <c r="B43" i="38"/>
  <c r="K43" i="38" s="1"/>
  <c r="K31" i="38"/>
  <c r="V126" i="14"/>
  <c r="U126" i="14"/>
  <c r="N127" i="14"/>
  <c r="O127" i="14"/>
  <c r="J199" i="32"/>
  <c r="B203" i="32"/>
  <c r="J199" i="31"/>
  <c r="B203" i="31"/>
  <c r="J202" i="33"/>
  <c r="B206" i="33"/>
  <c r="R76" i="18" l="1"/>
  <c r="B77" i="18"/>
  <c r="G146" i="34"/>
  <c r="O146" i="34" s="1"/>
  <c r="P146" i="34" s="1"/>
  <c r="N146" i="34"/>
  <c r="C82" i="25"/>
  <c r="L67" i="25"/>
  <c r="K82" i="25" s="1"/>
  <c r="B46" i="38"/>
  <c r="K46" i="38" s="1"/>
  <c r="T44" i="38"/>
  <c r="K44" i="38"/>
  <c r="J203" i="32"/>
  <c r="B204" i="32"/>
  <c r="B204" i="31"/>
  <c r="J203" i="31"/>
  <c r="J206" i="33"/>
  <c r="B207" i="33"/>
  <c r="B45" i="38"/>
  <c r="R77" i="18" l="1"/>
  <c r="B78" i="18"/>
  <c r="B206" i="32"/>
  <c r="J204" i="32"/>
  <c r="B207" i="32"/>
  <c r="C207" i="32" s="1"/>
  <c r="J204" i="31"/>
  <c r="B206" i="31"/>
  <c r="B208" i="31"/>
  <c r="C208" i="31" s="1"/>
  <c r="B209" i="33"/>
  <c r="C209" i="33" s="1"/>
  <c r="J207" i="33"/>
  <c r="J209" i="33" s="1"/>
  <c r="V58" i="38"/>
  <c r="V70" i="38"/>
  <c r="V55" i="38"/>
  <c r="V86" i="38"/>
  <c r="V82" i="38"/>
  <c r="V52" i="38"/>
  <c r="B49" i="38"/>
  <c r="K45" i="38"/>
  <c r="V61" i="38"/>
  <c r="V85" i="38"/>
  <c r="V48" i="38"/>
  <c r="V66" i="38"/>
  <c r="V87" i="38"/>
  <c r="V83" i="38"/>
  <c r="V50" i="38"/>
  <c r="V78" i="38"/>
  <c r="V84" i="38"/>
  <c r="V65" i="38"/>
  <c r="V75" i="38"/>
  <c r="V49" i="38"/>
  <c r="V63" i="38"/>
  <c r="V73" i="38"/>
  <c r="V74" i="38"/>
  <c r="V81" i="38"/>
  <c r="V72" i="38"/>
  <c r="V77" i="38"/>
  <c r="V76" i="38"/>
  <c r="V68" i="38"/>
  <c r="V57" i="38"/>
  <c r="V56" i="38"/>
  <c r="V54" i="38"/>
  <c r="V51" i="38"/>
  <c r="V80" i="38"/>
  <c r="V69" i="38"/>
  <c r="V67" i="38"/>
  <c r="V64" i="38"/>
  <c r="V60" i="38"/>
  <c r="V53" i="38"/>
  <c r="V59" i="38"/>
  <c r="V62" i="38"/>
  <c r="V71" i="38"/>
  <c r="V79" i="38"/>
  <c r="R78" i="18" l="1"/>
  <c r="B79" i="18"/>
  <c r="J206" i="32"/>
  <c r="L207" i="32"/>
  <c r="M207" i="32" s="1"/>
  <c r="L208" i="31"/>
  <c r="M208" i="31" s="1"/>
  <c r="J206" i="31"/>
  <c r="K210" i="33"/>
  <c r="J210" i="33"/>
  <c r="L210" i="33"/>
  <c r="K209" i="33"/>
  <c r="G81" i="38"/>
  <c r="F81" i="38"/>
  <c r="K49" i="38"/>
  <c r="B47" i="38"/>
  <c r="B48" i="38"/>
  <c r="P81" i="38" l="1"/>
  <c r="O81" i="38"/>
  <c r="G79" i="38"/>
  <c r="K47" i="38"/>
  <c r="F79" i="38"/>
  <c r="G80" i="38"/>
  <c r="F80" i="38"/>
  <c r="K48" i="38"/>
  <c r="P79" i="38" l="1"/>
  <c r="O79" i="38"/>
  <c r="P80" i="38"/>
  <c r="O80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Gutierrez</author>
  </authors>
  <commentList>
    <comment ref="B51" authorId="0" shapeId="0" xr:uid="{00000000-0006-0000-0A00-000001000000}">
      <text>
        <r>
          <rPr>
            <sz val="10"/>
            <rFont val="Arial"/>
          </rPr>
          <t>Jaime Gutierrez:
desenlazado!!!!</t>
        </r>
      </text>
    </comment>
  </commentList>
</comments>
</file>

<file path=xl/sharedStrings.xml><?xml version="1.0" encoding="utf-8"?>
<sst xmlns="http://schemas.openxmlformats.org/spreadsheetml/2006/main" count="9343" uniqueCount="2572">
  <si>
    <t>FRONT PAGE</t>
  </si>
  <si>
    <t>Doc Nº</t>
  </si>
  <si>
    <t>S/Ref</t>
  </si>
  <si>
    <t>-</t>
  </si>
  <si>
    <t>Project</t>
  </si>
  <si>
    <t>REV</t>
  </si>
  <si>
    <t>Mechanical  Calculations</t>
  </si>
  <si>
    <t>Calculos Mecanicos</t>
  </si>
  <si>
    <t>Rev.</t>
  </si>
  <si>
    <t>Date</t>
  </si>
  <si>
    <t>Made</t>
  </si>
  <si>
    <t xml:space="preserve">Checked </t>
  </si>
  <si>
    <t>Approved</t>
  </si>
  <si>
    <t>Modifications</t>
  </si>
  <si>
    <t>Fecha</t>
  </si>
  <si>
    <t>Realizado</t>
  </si>
  <si>
    <t>Verificado</t>
  </si>
  <si>
    <t>Aprovado</t>
  </si>
  <si>
    <t>Modificaciones</t>
  </si>
  <si>
    <t>Este documento es propiedad de Cryospain. No puede ser usado o comunicado a terceros sin permiso escrito de Cryospain. Se deberan tomar todas las precauciones necesaria para evitar su difusión</t>
  </si>
  <si>
    <t>This document is propiety of Cryospain. It may not be used or transmitted to third parties without written consent of Cryospain. All necessary precautions shall be taken to avoid disclosure</t>
  </si>
  <si>
    <t>[SPECIALTY]</t>
  </si>
  <si>
    <t>TYPE OF EQUIPMENT (VENDOR)</t>
  </si>
  <si>
    <t>Project Doc No.</t>
  </si>
  <si>
    <t>Rev. A</t>
  </si>
  <si>
    <t>Project Number</t>
  </si>
  <si>
    <t>Project Name</t>
  </si>
  <si>
    <t>PROJECT APPROVALS</t>
  </si>
  <si>
    <t>Rev</t>
  </si>
  <si>
    <t>Prepared By</t>
  </si>
  <si>
    <t>Approved By</t>
  </si>
  <si>
    <t>Revision</t>
  </si>
  <si>
    <t>Table of Revisions</t>
  </si>
  <si>
    <t>Section</t>
  </si>
  <si>
    <t>Description</t>
  </si>
  <si>
    <t>Made by</t>
  </si>
  <si>
    <t>Checked by</t>
  </si>
  <si>
    <t>Approved by</t>
  </si>
  <si>
    <t>Rév.</t>
  </si>
  <si>
    <t xml:space="preserve">Index  / Indice </t>
  </si>
  <si>
    <t>PAG</t>
  </si>
  <si>
    <t>1.1</t>
  </si>
  <si>
    <t>Index / Indice</t>
  </si>
  <si>
    <t>1.2</t>
  </si>
  <si>
    <t>Reference Documents / Documentos de referencia</t>
  </si>
  <si>
    <t>1.3</t>
  </si>
  <si>
    <t>Design Data / Datos de diseño</t>
  </si>
  <si>
    <t>1.4</t>
  </si>
  <si>
    <t>Allowable design stress / Fatigas admisibles</t>
  </si>
  <si>
    <t>1.5</t>
  </si>
  <si>
    <t>Main dimensions / Principales dimensiones</t>
  </si>
  <si>
    <t>Inner Vessel Calculations / Calculos del tanque interior</t>
  </si>
  <si>
    <t>2.1</t>
  </si>
  <si>
    <t>Shell /Envolvente</t>
  </si>
  <si>
    <t>2.2</t>
  </si>
  <si>
    <t>Shell under test/Envolvente en prueba</t>
  </si>
  <si>
    <t>2.3</t>
  </si>
  <si>
    <t>Shell with maximun liquid level</t>
  </si>
  <si>
    <t>2.4</t>
  </si>
  <si>
    <t>Shell under Vacuum, Stiffeners/ Envolvente a vacio, Rigidizadores</t>
  </si>
  <si>
    <t>2.5</t>
  </si>
  <si>
    <t>Roof/Techo</t>
  </si>
  <si>
    <t>2.6</t>
  </si>
  <si>
    <t>Compression Ring /Anillo de Compresion</t>
  </si>
  <si>
    <t>Compression Ring under vacuum /Anillo de Compresion bajo vacio</t>
  </si>
  <si>
    <t>2.7</t>
  </si>
  <si>
    <t>Anchorage/Anclaje</t>
  </si>
  <si>
    <t>Outer Tank Calculations / Calculos del Tanque exterior</t>
  </si>
  <si>
    <t>3.1</t>
  </si>
  <si>
    <t>3.2</t>
  </si>
  <si>
    <t>Shell  under vacuum/external pressure, Wind Ginders / Envolventes bajo vacio/presion exterior-Rigidizadores de Viento</t>
  </si>
  <si>
    <t>3.3</t>
  </si>
  <si>
    <t>3.4</t>
  </si>
  <si>
    <t>Roof-Shell Joint/ Unión Techo-Envolvente</t>
  </si>
  <si>
    <t>3.5</t>
  </si>
  <si>
    <t>Anchorage/Anclajes</t>
  </si>
  <si>
    <t>Foundations Loads, Earthquake and Wind Load / Cargas de cimentación, sismicidad y viento</t>
  </si>
  <si>
    <t>4.1</t>
  </si>
  <si>
    <t xml:space="preserve">Wind Loads/ Cargas por Viento </t>
  </si>
  <si>
    <t>4.2</t>
  </si>
  <si>
    <t>Inner tank seismic design / Tanque interno: comprobacion a sismo</t>
  </si>
  <si>
    <t>4.3</t>
  </si>
  <si>
    <t>Outer tank seismic design / Tanque externo: comprobacion a sismo</t>
  </si>
  <si>
    <t>4.4</t>
  </si>
  <si>
    <t>Loads for Foundations/Cargas para Cimentacion</t>
  </si>
  <si>
    <t>4.5</t>
  </si>
  <si>
    <t>Pressure Over Foamglas / Presión sobre el Foamglas</t>
  </si>
  <si>
    <t>4.6</t>
  </si>
  <si>
    <t>4.7</t>
  </si>
  <si>
    <t>4.8</t>
  </si>
  <si>
    <t>ASCE 7 2010 checking / Comprobacion según ASCE7</t>
  </si>
  <si>
    <t>Revision / Revisión</t>
  </si>
  <si>
    <t xml:space="preserve">Nº of rev. / </t>
  </si>
  <si>
    <t>Date /</t>
  </si>
  <si>
    <t>Purpose of revision  /</t>
  </si>
  <si>
    <t xml:space="preserve"> Nº de la rev.</t>
  </si>
  <si>
    <t>Motivo de la revisión</t>
  </si>
  <si>
    <t>Customer Specification / Especificaciones del cliente</t>
  </si>
  <si>
    <t>x</t>
  </si>
  <si>
    <t>Design Code /Codigo de Diseño</t>
  </si>
  <si>
    <t>API 620 12th edition,</t>
  </si>
  <si>
    <t>Oct 2013 (Addm #2 - April 2018)</t>
  </si>
  <si>
    <t>API 650 appendix V</t>
  </si>
  <si>
    <t>Design Data</t>
  </si>
  <si>
    <t>Design Cases</t>
  </si>
  <si>
    <t>Inner Tank</t>
  </si>
  <si>
    <t>Outer Tank</t>
  </si>
  <si>
    <t>units</t>
  </si>
  <si>
    <t>SI</t>
  </si>
  <si>
    <t>Imperial</t>
  </si>
  <si>
    <t>Temperature/Temperatura(ºC / ºF)</t>
  </si>
  <si>
    <t>API Load Combination</t>
  </si>
  <si>
    <t>MDMT(ºC / ºF)</t>
  </si>
  <si>
    <t>Case Calculation</t>
  </si>
  <si>
    <t>Loads</t>
  </si>
  <si>
    <t xml:space="preserve">Inner Vessel Full of Liquid at Desgin Pressure </t>
  </si>
  <si>
    <t>Hli+Pgi+DLi</t>
  </si>
  <si>
    <t>a</t>
  </si>
  <si>
    <t>Design Internal Pressure/Presion Interna (bar/psi)</t>
  </si>
  <si>
    <t>Inner Vessel Full of Liquid(Oxygen or Water) at Bursting Pressure</t>
  </si>
  <si>
    <t>Hl+Pb+Dl</t>
  </si>
  <si>
    <t>g</t>
  </si>
  <si>
    <t>Annular space: External pressure for inner tank and design point for the internal pressure for the outer tank</t>
  </si>
  <si>
    <t>Inner Vessel at Vacuum</t>
  </si>
  <si>
    <t>Pvi+Pgo+Dl+Wp</t>
  </si>
  <si>
    <t>d,e</t>
  </si>
  <si>
    <t>External Pressure / Presion Externa (bar/psi)</t>
  </si>
  <si>
    <t>note 3</t>
  </si>
  <si>
    <t>Roof with internal Pressure</t>
  </si>
  <si>
    <t>Pgi+DLi+Pvo</t>
  </si>
  <si>
    <t>External pressure on the roof (bar/psi)</t>
  </si>
  <si>
    <t>note 1</t>
  </si>
  <si>
    <t>N/A</t>
  </si>
  <si>
    <t>Roof with External Pressure</t>
  </si>
  <si>
    <t>Pvi+Dli+Pgo</t>
  </si>
  <si>
    <t>d,e,c</t>
  </si>
  <si>
    <t>External pressure on the shell (bar/psi)</t>
  </si>
  <si>
    <t>note 2</t>
  </si>
  <si>
    <t>Roof at Bursting Pressure</t>
  </si>
  <si>
    <t>Pb+Dl+Pvo</t>
  </si>
  <si>
    <t>Perlite Density /Densida de la Perlita (kg/m3)/(lb/ft3)</t>
  </si>
  <si>
    <t>---</t>
  </si>
  <si>
    <t>Roof at Bursting Pressure withou Perlite</t>
  </si>
  <si>
    <t>Insulation load on roof</t>
  </si>
  <si>
    <t>(bar/ psf)</t>
  </si>
  <si>
    <t>Compresion ring at design pressure</t>
  </si>
  <si>
    <t>a,b</t>
  </si>
  <si>
    <t>Insulation load on shell</t>
  </si>
  <si>
    <t>Compresion ring at Test pressure</t>
  </si>
  <si>
    <t>Pti+Pvo</t>
  </si>
  <si>
    <t xml:space="preserve">Set point Vacuum Pressure/Presion de Vacio (bar /psi) </t>
  </si>
  <si>
    <t>Straps at design pressure</t>
  </si>
  <si>
    <t xml:space="preserve">Design vacuum pressure (bar /psi) </t>
  </si>
  <si>
    <t>Straps at Maximun Overpressure</t>
  </si>
  <si>
    <t>Psm+Pvo+Dl</t>
  </si>
  <si>
    <t>Test Pressure/Presion de Prueba(bar/psi)</t>
  </si>
  <si>
    <t>Outer tank at Design Pressure</t>
  </si>
  <si>
    <t>Dl+Pgo+W+Wp</t>
  </si>
  <si>
    <t>b</t>
  </si>
  <si>
    <t>Wind Speed/ Velocidad del Viento (m/s)/(mph)</t>
  </si>
  <si>
    <t>Outer tank at Test Pressure</t>
  </si>
  <si>
    <t>Dl+Pto+W+Wp</t>
  </si>
  <si>
    <t>Outer Tank  at External Pressure, Wind</t>
  </si>
  <si>
    <t>Dl+W</t>
  </si>
  <si>
    <t>c</t>
  </si>
  <si>
    <t>Dl+Pgo+W+Lr</t>
  </si>
  <si>
    <t>c,d,e</t>
  </si>
  <si>
    <t>Snow / Nieve (kg/m2)/(psf)</t>
  </si>
  <si>
    <t>Roof at Test</t>
  </si>
  <si>
    <t>Dl+Pto+W</t>
  </si>
  <si>
    <t>Density of Product / Densidad del producto (kg/m3)/(lb/ft3)</t>
  </si>
  <si>
    <t>Outer tank Roof to shell union at Design Pressure</t>
  </si>
  <si>
    <t>Dl+Pgo</t>
  </si>
  <si>
    <t>Outer tank Roof to shell union at Test Pressure</t>
  </si>
  <si>
    <t>Dl+Pto</t>
  </si>
  <si>
    <t>Maximum Boil-off per day / Tasa maxima de evaporacion(%)</t>
  </si>
  <si>
    <t>Outer Tank anchoraje at Design Pressure</t>
  </si>
  <si>
    <t>Dl+Pgo+W</t>
  </si>
  <si>
    <t>Outer Tank anchoraje at Test Pressure</t>
  </si>
  <si>
    <t>Live loads (kg/m2)/(psf)</t>
  </si>
  <si>
    <t>Hli</t>
  </si>
  <si>
    <t>Liquid Colum Height, Inner tank</t>
  </si>
  <si>
    <t>Pgi</t>
  </si>
  <si>
    <t>Gas Pressure, Inner Tank</t>
  </si>
  <si>
    <t>Ss /S1</t>
  </si>
  <si>
    <t>Pti</t>
  </si>
  <si>
    <t>Test Pressure, Inner tank</t>
  </si>
  <si>
    <t>Pb</t>
  </si>
  <si>
    <t>Bursting Pressure of Rupture Disc</t>
  </si>
  <si>
    <t>Seismic use group - SUG</t>
  </si>
  <si>
    <t>I</t>
  </si>
  <si>
    <t>Pvi</t>
  </si>
  <si>
    <t>Vacuum Pressure, inner Tank</t>
  </si>
  <si>
    <t>Dl</t>
  </si>
  <si>
    <t>Dead Load(Including Weight of over the roof)</t>
  </si>
  <si>
    <t>Seismic site class</t>
  </si>
  <si>
    <t>D</t>
  </si>
  <si>
    <t>W</t>
  </si>
  <si>
    <t>Wind Pressure</t>
  </si>
  <si>
    <t>Pgo</t>
  </si>
  <si>
    <t>Gas Pressure, Outer Tank</t>
  </si>
  <si>
    <t>Risk Category</t>
  </si>
  <si>
    <t>II</t>
  </si>
  <si>
    <t>Pto</t>
  </si>
  <si>
    <t>Test Pressure, Outer Tank</t>
  </si>
  <si>
    <t>Wind exposure category</t>
  </si>
  <si>
    <t>C</t>
  </si>
  <si>
    <t>Pvo</t>
  </si>
  <si>
    <t>Vacuum Pressure, Outer Tank</t>
  </si>
  <si>
    <t>Psb</t>
  </si>
  <si>
    <t>Maximun Pressure for Strap Calculation</t>
  </si>
  <si>
    <t>Note 1:</t>
  </si>
  <si>
    <t>Roof pressure I.T. = insulation load (50psf) + purge (5mbar) + I.T. vacuum (10mbar). N/A for O.T.</t>
  </si>
  <si>
    <t>Wp</t>
  </si>
  <si>
    <t>Weight of Perlite</t>
  </si>
  <si>
    <t>Note 2:</t>
  </si>
  <si>
    <t>Shell pressure I.T. = insulation load (100psf) + purge (5mbar) + I.T. vacuum (10mbar). Vacuum is not needed</t>
  </si>
  <si>
    <t>Lr</t>
  </si>
  <si>
    <t>Live roof loads</t>
  </si>
  <si>
    <t>for O.T shell pressure</t>
  </si>
  <si>
    <t>Note 3:</t>
  </si>
  <si>
    <t xml:space="preserve">Per Remark Line #27 in ASU 7110 B-DE 1001 (EN): For Outer Tank the worst case design to consider is 8mbar, </t>
  </si>
  <si>
    <t>with normal operating condition considered 5mbar</t>
  </si>
  <si>
    <t>ALLOWABLE DESIGN STRESS</t>
  </si>
  <si>
    <t>ALLOWABLE DESIGN STRESS / FATIGAS ADMISIBLES DE DISEÑO</t>
  </si>
  <si>
    <t>Carbon Steel / Acero Carbono (Table 5-1)</t>
  </si>
  <si>
    <t xml:space="preserve">Material </t>
  </si>
  <si>
    <t>Specified Minimun Tensile Strength (MPa)</t>
  </si>
  <si>
    <t>Max. Allowable Stress for tension</t>
  </si>
  <si>
    <t>Carga Minima de rotura</t>
  </si>
  <si>
    <t>Tension Max. Adm. a traccion</t>
  </si>
  <si>
    <t>Units</t>
  </si>
  <si>
    <t>ASTM 283 Gr C / A36 (TBC)</t>
  </si>
  <si>
    <t>SI (MPa)</t>
  </si>
  <si>
    <t>English (psi)</t>
  </si>
  <si>
    <t>See/Ver  Api 620 Table 5-1pag 5-6(55000 psi and 15200psi)</t>
  </si>
  <si>
    <t>Stainless steel / Acero Inoxidable (Table 5-2)</t>
  </si>
  <si>
    <t>Allowable Stress for Design</t>
  </si>
  <si>
    <t>Allowable Stress for Test</t>
  </si>
  <si>
    <t>Tension Max. Adm. Diseño</t>
  </si>
  <si>
    <t>Tension Max. Adm. Prueba</t>
  </si>
  <si>
    <t>A240, 304</t>
  </si>
  <si>
    <t>See/Ver  Api 620 App Q, Table Q-7 pagQ-7(75000 psi, 22500 psi and 27000 psi)</t>
  </si>
  <si>
    <t>Main Dimensions/ Dimensiones Principales</t>
  </si>
  <si>
    <t xml:space="preserve"> MAIN DIMENSIONS / DIMENSIONES PRINCIPALES</t>
  </si>
  <si>
    <t>OUTER TANK / TANQUE EXTERIOR</t>
  </si>
  <si>
    <t>Internal Diameter/Diametro Interno</t>
  </si>
  <si>
    <t>mm</t>
  </si>
  <si>
    <t>in</t>
  </si>
  <si>
    <t>Shell height/ altura envolvente</t>
  </si>
  <si>
    <t>Roof Radius/Radio del techo</t>
  </si>
  <si>
    <t>Roof thickness/Espesor del techo</t>
  </si>
  <si>
    <t>External Tank shell Course/Virolas del tanque exterior</t>
  </si>
  <si>
    <t>VIROLA</t>
  </si>
  <si>
    <t>Thickness,t</t>
  </si>
  <si>
    <t>Height,Hv</t>
  </si>
  <si>
    <t>SHELL COURSE</t>
  </si>
  <si>
    <t>Espesor de virola,t</t>
  </si>
  <si>
    <t>Altura de virola,Hv</t>
  </si>
  <si>
    <t>Outer Shell stiffeners/Anillos rigidizadores virola externa:</t>
  </si>
  <si>
    <t>Number / Número</t>
  </si>
  <si>
    <t>ud</t>
  </si>
  <si>
    <t>Anchorage / Anclajes</t>
  </si>
  <si>
    <t>Number of bolt / Numero de Anclajes</t>
  </si>
  <si>
    <t>Size(Thread) / Tamaño(Rosca)</t>
  </si>
  <si>
    <t>M</t>
  </si>
  <si>
    <t>INNER TANK / TANQUE INTERIOR</t>
  </si>
  <si>
    <t>Roof thickness (peripherical part)/Espesor del techo</t>
  </si>
  <si>
    <t>Roof thickness (central part)/Espesor del techo</t>
  </si>
  <si>
    <t>Inner Tank shell Course/Virolas del tanque interior</t>
  </si>
  <si>
    <t>Alturade virola,Hv</t>
  </si>
  <si>
    <t>Shell stiffeners/Anillos rigidizadores virola externa:</t>
  </si>
  <si>
    <t>Width / Anchura</t>
  </si>
  <si>
    <t>Thickness / Espesor</t>
  </si>
  <si>
    <t>Number of straps / Numero de Anclajes</t>
  </si>
  <si>
    <t>Width /Anchura</t>
  </si>
  <si>
    <t>Strap-shell Pad thickness</t>
  </si>
  <si>
    <t>Soldadura</t>
  </si>
  <si>
    <t>VIROLAS INTERNAS</t>
  </si>
  <si>
    <t>Inner Vessel shell Couse/Virolas del tanque interior</t>
  </si>
  <si>
    <t>Soldaduras verticales</t>
  </si>
  <si>
    <t>Soldaduras circunferenciales</t>
  </si>
  <si>
    <t>Stiffnener</t>
  </si>
  <si>
    <t>Thickness, e</t>
  </si>
  <si>
    <t>Material
(g)</t>
  </si>
  <si>
    <t>SPOTS</t>
  </si>
  <si>
    <t>Radiografías</t>
  </si>
  <si>
    <t>Líquidos</t>
  </si>
  <si>
    <t>Length</t>
  </si>
  <si>
    <t>Proyecto</t>
  </si>
  <si>
    <t>SHELL COUSE</t>
  </si>
  <si>
    <t>Altura Acumulada</t>
  </si>
  <si>
    <t>Espesor 
soldadura, e</t>
  </si>
  <si>
    <t>Longitud</t>
  </si>
  <si>
    <t xml:space="preserve">Espesor 
</t>
  </si>
  <si>
    <t>nº</t>
  </si>
  <si>
    <t>Product Propieties/Propiedades del Producto</t>
  </si>
  <si>
    <t>Product/Producto:</t>
  </si>
  <si>
    <t>LIN</t>
  </si>
  <si>
    <t>Temperature/Temperatura (ºC)</t>
  </si>
  <si>
    <t>Density/Densidad (Kg/m3)</t>
  </si>
  <si>
    <t>Vaporization Heat/Calor de latente (KJ/Kg)</t>
  </si>
  <si>
    <t>General properties / Propiedades Generales</t>
  </si>
  <si>
    <t>Densidad del Acero</t>
  </si>
  <si>
    <t>kg/m3</t>
  </si>
  <si>
    <t>Average thickness</t>
  </si>
  <si>
    <t>Hts=</t>
  </si>
  <si>
    <t>Densidad del Agua</t>
  </si>
  <si>
    <t>m, Height of the center of gravity of the shell</t>
  </si>
  <si>
    <t>Densidad Perlita</t>
  </si>
  <si>
    <t>BOTTOM ANNULAR RING / ANILLO DE FONDO EN:</t>
  </si>
  <si>
    <t>VIROLAS EXTERNAS</t>
  </si>
  <si>
    <t>External Vessel shell Couse/Virolas del tanque exterior</t>
  </si>
  <si>
    <t>Tank Caracteristics/Caracteristicas del Tanque</t>
  </si>
  <si>
    <t>Outer vessel</t>
  </si>
  <si>
    <t>Shell Height/Altura de Envolvente</t>
  </si>
  <si>
    <t>Roof height/Altura de techo</t>
  </si>
  <si>
    <t>Diameter/Diametro</t>
  </si>
  <si>
    <t>Roof Radious/Radio del techo</t>
  </si>
  <si>
    <t>Maximum height/ Altura de Coronacion</t>
  </si>
  <si>
    <t>Diamtro</t>
  </si>
  <si>
    <t>Altura Orejeta</t>
  </si>
  <si>
    <t>TECHO EXTERIOR</t>
  </si>
  <si>
    <t>Sector techo</t>
  </si>
  <si>
    <t>Soldadura envolvente techo</t>
  </si>
  <si>
    <t>Area(mm2)</t>
  </si>
  <si>
    <t>thickness of top sidewall course/Espesor de la virola superior</t>
  </si>
  <si>
    <t>espesor</t>
  </si>
  <si>
    <t>Agua 
jabonosa</t>
  </si>
  <si>
    <t>Anchor number / Numero de Anclajes</t>
  </si>
  <si>
    <t>Size / Metrica</t>
  </si>
  <si>
    <t>Superf Interio</t>
  </si>
  <si>
    <t>2x50/300</t>
  </si>
  <si>
    <t>Area</t>
  </si>
  <si>
    <t>mm2</t>
  </si>
  <si>
    <t xml:space="preserve">Compression Ring / Anillo de Compresion </t>
  </si>
  <si>
    <t>Superf EXT</t>
  </si>
  <si>
    <t>Perlite space / Pared perlita</t>
  </si>
  <si>
    <t>Shell thickness at junction/Espesor de la parte en la union</t>
  </si>
  <si>
    <t>Roof surface / area del techo</t>
  </si>
  <si>
    <t>Width of shell thickness considered/Anchura de la virola considerada para espesor</t>
  </si>
  <si>
    <t>Dos</t>
  </si>
  <si>
    <t>Soldadura calota circunferencia</t>
  </si>
  <si>
    <t>Soldadura calota diámetro</t>
  </si>
  <si>
    <t>External shell stiffeners/Anillos rigidizadores virola externa:</t>
  </si>
  <si>
    <t>Compression Ring thickness/Espesor del Anillo de Compresion</t>
  </si>
  <si>
    <t>Number/Número</t>
  </si>
  <si>
    <t>Whole roof plate/Chapa de Compresion</t>
  </si>
  <si>
    <t>mm,Wideness/Anchura</t>
  </si>
  <si>
    <t>Compression Ring width/Anchura del Anillo de Compresion</t>
  </si>
  <si>
    <t>mm,Thickness/Espesor (m)</t>
  </si>
  <si>
    <t>compression ring wing (inner tank) / Voladizo del anillo de compresion (TANQUE INTERIOR)</t>
  </si>
  <si>
    <t>compression ring wing (outer tank) / Voladizo del anillo de compresion (TANQUE EXTERIOR)</t>
  </si>
  <si>
    <t>Cierre superior</t>
  </si>
  <si>
    <t>Soldaduras orejetas</t>
  </si>
  <si>
    <t>longitud</t>
  </si>
  <si>
    <t>Líquidos
penetrantes</t>
  </si>
  <si>
    <t>Inner Vessel/Tanque interior</t>
  </si>
  <si>
    <t>SPACE BETWEEEN STIFFENERS/ESPACIO  ENTRE RIGIDADORES</t>
  </si>
  <si>
    <t>Shell Height/Altura de envolvente</t>
  </si>
  <si>
    <t>t</t>
  </si>
  <si>
    <t>Lsc</t>
  </si>
  <si>
    <t>Lsr</t>
  </si>
  <si>
    <t>Ha</t>
  </si>
  <si>
    <t>3x100/300</t>
  </si>
  <si>
    <t>5.6</t>
  </si>
  <si>
    <t>Liquid Height/Altura de Liquido</t>
  </si>
  <si>
    <t>TECHO INTERIOR</t>
  </si>
  <si>
    <t>Roof thickness peripherical part/Espesor de techo</t>
  </si>
  <si>
    <t>Roof thickness central part/Espesor de techo</t>
  </si>
  <si>
    <t>Volumen Calculado(200mm pro encima del fondo)</t>
  </si>
  <si>
    <t>Area techo (mm2)</t>
  </si>
  <si>
    <t>virola+2</t>
  </si>
  <si>
    <t>seccion transversal (m2)</t>
  </si>
  <si>
    <t>C.o.g /Centro gravedad</t>
  </si>
  <si>
    <t>Straps num. / Numero de straps</t>
  </si>
  <si>
    <t>Líquidos/
Radiografías</t>
  </si>
  <si>
    <t>Numero</t>
  </si>
  <si>
    <t xml:space="preserve">Ancho </t>
  </si>
  <si>
    <t xml:space="preserve">Largo </t>
  </si>
  <si>
    <t>mm/nº</t>
  </si>
  <si>
    <t>Straps</t>
  </si>
  <si>
    <t>base</t>
  </si>
  <si>
    <t>pletina</t>
  </si>
  <si>
    <t>Soldaduras anillo techo</t>
  </si>
  <si>
    <t>longitd</t>
  </si>
  <si>
    <t>Inner shell stiffeners/Anillos rigidizadores virola interna:</t>
  </si>
  <si>
    <t>External Diameter/Diametro externo (mm)</t>
  </si>
  <si>
    <t>Wing Height/Altura del Ala(mm)</t>
  </si>
  <si>
    <t>Wing thickness/Espesor del ala</t>
  </si>
  <si>
    <t>FONDO INTERIOR</t>
  </si>
  <si>
    <t>mm Lenght of the core/Longitud del Alma</t>
  </si>
  <si>
    <t>Circunferenciales</t>
  </si>
  <si>
    <t>Soldaduras anillo base</t>
  </si>
  <si>
    <t>mm, Thickness of the core/Espesor del Alma</t>
  </si>
  <si>
    <t>mm2, Area of Stiffener/Area del Rigidizador</t>
  </si>
  <si>
    <t>Pletinas</t>
  </si>
  <si>
    <t>Cellular Glass dimensions / Dimesiones del foamglass</t>
  </si>
  <si>
    <t>Cellular Glass thickness without concrete/ Espesor cellular glass sin anillo de hormigon</t>
  </si>
  <si>
    <t>Cellular glass thickness / Espesor de cellular glass</t>
  </si>
  <si>
    <t>Cellular glass thickness + concrete / Espesor cellular glass mas hormigón</t>
  </si>
  <si>
    <t>ANILLOS RIGIDIZADORES INTERNOS</t>
  </si>
  <si>
    <t>Low concrete slab thickness/Espesor capa inferior de hormigón</t>
  </si>
  <si>
    <t>soldadura piezas de anillo</t>
  </si>
  <si>
    <t>soldadura a virolas</t>
  </si>
  <si>
    <t xml:space="preserve">Upper concrete slab thickness/Espesor capa superior de hormigón </t>
  </si>
  <si>
    <t>Concrete Ringwall thickness/ Espesor anillo de hormigón</t>
  </si>
  <si>
    <t>Concrete Ring Wideness/Anchura del anillo de hormigón (m):</t>
  </si>
  <si>
    <t>m</t>
  </si>
  <si>
    <t>Cellular glass outside tank/ Cellular glass que sobresale del tanque</t>
  </si>
  <si>
    <t>ANILLOS RIGIDIZADORES EXTERNOS</t>
  </si>
  <si>
    <t>Perlite volume / Volumen Perlita</t>
  </si>
  <si>
    <t>CELLULAR GLASS CLASS</t>
  </si>
  <si>
    <t>HLB800</t>
  </si>
  <si>
    <t>CALCULATED BOIL-OFF RATIO (15ºC)</t>
  </si>
  <si>
    <t>Peso Escalera</t>
  </si>
  <si>
    <t>*sin extras</t>
  </si>
  <si>
    <t>Datos necesarios para cálculos</t>
  </si>
  <si>
    <t>Datos pletinas internas</t>
  </si>
  <si>
    <t>2x100/300</t>
  </si>
  <si>
    <t>Número sectores techo ext</t>
  </si>
  <si>
    <t>lado 1</t>
  </si>
  <si>
    <t>FONDO EXTERIOR</t>
  </si>
  <si>
    <t>Ángulo techo externo e interno</t>
  </si>
  <si>
    <t>rad</t>
  </si>
  <si>
    <t>lado 2</t>
  </si>
  <si>
    <t>Área a cubrir</t>
  </si>
  <si>
    <t>Diámetro calota</t>
  </si>
  <si>
    <t>Núm pletinas</t>
  </si>
  <si>
    <t>Número orejetas</t>
  </si>
  <si>
    <t>5.5</t>
  </si>
  <si>
    <t>Diámetro cierre superior UPN140</t>
  </si>
  <si>
    <t>Datos pletinas externas</t>
  </si>
  <si>
    <t>piezas por anillo ext.</t>
  </si>
  <si>
    <t>STRAPS</t>
  </si>
  <si>
    <t>Boca de hombre</t>
  </si>
  <si>
    <t>Diametro externo anillo(mm)</t>
  </si>
  <si>
    <t>Altura techo</t>
  </si>
  <si>
    <t>Plet a virolas</t>
  </si>
  <si>
    <t>Radio exterior chapas techo int.</t>
  </si>
  <si>
    <t>TOTAL</t>
  </si>
  <si>
    <t>Número anillos base int</t>
  </si>
  <si>
    <t>Datos orejetas interiores</t>
  </si>
  <si>
    <t>Material 
aporte</t>
  </si>
  <si>
    <t>Líquidos 
penetrantes</t>
  </si>
  <si>
    <t>Radio exterior chapas fondo int</t>
  </si>
  <si>
    <t>Refuerzo</t>
  </si>
  <si>
    <t>kg</t>
  </si>
  <si>
    <t>Número orejetas int</t>
  </si>
  <si>
    <t>orejetas</t>
  </si>
  <si>
    <t>Anillo compresión int</t>
  </si>
  <si>
    <t>Ancho</t>
  </si>
  <si>
    <t>número</t>
  </si>
  <si>
    <t>Datos virolas exteriores</t>
  </si>
  <si>
    <t>Número sectores techo int</t>
  </si>
  <si>
    <t>Diámetro más exterior int</t>
  </si>
  <si>
    <t>Piezas por anillo int</t>
  </si>
  <si>
    <t>sin especificar</t>
  </si>
  <si>
    <t>TOTAL'</t>
  </si>
  <si>
    <t>Perfiles Techo AC</t>
  </si>
  <si>
    <t>Nº</t>
  </si>
  <si>
    <t>D1</t>
  </si>
  <si>
    <t>H(respecto envolvente)</t>
  </si>
  <si>
    <t>D2</t>
  </si>
  <si>
    <t>H2</t>
  </si>
  <si>
    <t>D3</t>
  </si>
  <si>
    <t>H3</t>
  </si>
  <si>
    <t>Escalera</t>
  </si>
  <si>
    <t>Peldaños Teorico</t>
  </si>
  <si>
    <t>Descanso Teorico</t>
  </si>
  <si>
    <t>Nº Descanso</t>
  </si>
  <si>
    <t>Nº Peldaños</t>
  </si>
  <si>
    <t>Pasalera</t>
  </si>
  <si>
    <t>Angulo</t>
  </si>
  <si>
    <t>Longitud Escalera</t>
  </si>
  <si>
    <t>Longitud Parelara</t>
  </si>
  <si>
    <t>Peldaños</t>
  </si>
  <si>
    <t>Diametro Barandilla</t>
  </si>
  <si>
    <t>Superficie AC</t>
  </si>
  <si>
    <t>Volumen aa dmitir</t>
  </si>
  <si>
    <t>H liquid</t>
  </si>
  <si>
    <t>LISTA COMPRA CHAPAS PROVISIONAL</t>
  </si>
  <si>
    <t>1. TANQUE INTERIOR</t>
  </si>
  <si>
    <t>VIROLAS</t>
  </si>
  <si>
    <t>Item</t>
  </si>
  <si>
    <t>Cantidad</t>
  </si>
  <si>
    <t>Largo</t>
  </si>
  <si>
    <t>Calidad</t>
  </si>
  <si>
    <t>SC1</t>
  </si>
  <si>
    <t>A240 TP304/304L dual</t>
  </si>
  <si>
    <t>SC2</t>
  </si>
  <si>
    <t>SC3</t>
  </si>
  <si>
    <t>SC4</t>
  </si>
  <si>
    <t>SC5</t>
  </si>
  <si>
    <t>SC6</t>
  </si>
  <si>
    <t>SC7</t>
  </si>
  <si>
    <t>SC8</t>
  </si>
  <si>
    <t>SC9</t>
  </si>
  <si>
    <t>SC10</t>
  </si>
  <si>
    <t>TECHO</t>
  </si>
  <si>
    <t>FONDO</t>
  </si>
  <si>
    <t>B1</t>
  </si>
  <si>
    <t>B2</t>
  </si>
  <si>
    <t>B3</t>
  </si>
  <si>
    <t>B4</t>
  </si>
  <si>
    <t>B5</t>
  </si>
  <si>
    <t>B6</t>
  </si>
  <si>
    <t>B7</t>
  </si>
  <si>
    <t>B8</t>
  </si>
  <si>
    <t>2. TANQUE EXTERIOR</t>
  </si>
  <si>
    <t>A36</t>
  </si>
  <si>
    <t>Pesos</t>
  </si>
  <si>
    <t>Tanque Interior</t>
  </si>
  <si>
    <t>Densida del hierro</t>
  </si>
  <si>
    <t>Dimensiones</t>
  </si>
  <si>
    <t>Peso</t>
  </si>
  <si>
    <t>Perd.</t>
  </si>
  <si>
    <t>Straps:</t>
  </si>
  <si>
    <t>Total</t>
  </si>
  <si>
    <t>€/kg</t>
  </si>
  <si>
    <t>Presupuesto</t>
  </si>
  <si>
    <t>Refuerzos straps-shell</t>
  </si>
  <si>
    <t>Fondo</t>
  </si>
  <si>
    <t>Dtanque</t>
  </si>
  <si>
    <t>Solape exterior</t>
  </si>
  <si>
    <t>Solape interior</t>
  </si>
  <si>
    <t>e</t>
  </si>
  <si>
    <t>Superficie(m2)</t>
  </si>
  <si>
    <t>20% Perdidas</t>
  </si>
  <si>
    <t>m de Chapa de 2000 mm</t>
  </si>
  <si>
    <t>Anillo perimetral</t>
  </si>
  <si>
    <t>Perdida Solape</t>
  </si>
  <si>
    <t>S necesaria</t>
  </si>
  <si>
    <t>Perdidas Esquina</t>
  </si>
  <si>
    <t>S compra</t>
  </si>
  <si>
    <t>Ancho Chapa(mm)</t>
  </si>
  <si>
    <t>Longitud total chapa</t>
  </si>
  <si>
    <t>Longitud chapa</t>
  </si>
  <si>
    <t>Nº Chapas</t>
  </si>
  <si>
    <t>Placas ref sobre fondo AC</t>
  </si>
  <si>
    <t>Extra</t>
  </si>
  <si>
    <t>L</t>
  </si>
  <si>
    <t>anchura</t>
  </si>
  <si>
    <t>Cintura del foamglass</t>
  </si>
  <si>
    <t>rho</t>
  </si>
  <si>
    <t>Membrana de foamglass</t>
  </si>
  <si>
    <t>Virola</t>
  </si>
  <si>
    <t>Long</t>
  </si>
  <si>
    <t>Altura</t>
  </si>
  <si>
    <t>nº de Chapas</t>
  </si>
  <si>
    <t>Longitud Chapa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</si>
  <si>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</si>
  <si>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</si>
  <si>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</si>
  <si>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</si>
  <si>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</si>
  <si>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</si>
  <si>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</si>
  <si>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</si>
  <si>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</si>
  <si>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</si>
  <si>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</si>
  <si>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Rigidizadores</t>
  </si>
  <si>
    <t>alma</t>
  </si>
  <si>
    <t>ala</t>
  </si>
  <si>
    <t>Techo</t>
  </si>
  <si>
    <t>anillo de compresion</t>
  </si>
  <si>
    <t>Superficie</t>
  </si>
  <si>
    <t>Arco Total</t>
  </si>
  <si>
    <t>Rco-Coron y anillo</t>
  </si>
  <si>
    <t>Perimetro exterior</t>
  </si>
  <si>
    <t>Nº De gajos</t>
  </si>
  <si>
    <t>Altura de gajo</t>
  </si>
  <si>
    <t>Gajo+Solape</t>
  </si>
  <si>
    <t>Radio Inf</t>
  </si>
  <si>
    <t>Orejetas</t>
  </si>
  <si>
    <t xml:space="preserve">corano central </t>
  </si>
  <si>
    <t>Conjunto</t>
  </si>
  <si>
    <t>Calculos techo</t>
  </si>
  <si>
    <t>Tuberias y tubing</t>
  </si>
  <si>
    <t>Tamaño</t>
  </si>
  <si>
    <t>Peso/metro</t>
  </si>
  <si>
    <t>Longitud estimada</t>
  </si>
  <si>
    <t>Solape</t>
  </si>
  <si>
    <t>Dext</t>
  </si>
  <si>
    <t>Perimetro</t>
  </si>
  <si>
    <t>Chapa</t>
  </si>
  <si>
    <t>Instrument line(liquid)</t>
  </si>
  <si>
    <t>Instrument line(gas)</t>
  </si>
  <si>
    <t>Pext gajo</t>
  </si>
  <si>
    <t>angulo</t>
  </si>
  <si>
    <t>Longitud gajo</t>
  </si>
  <si>
    <t>alpha interior</t>
  </si>
  <si>
    <t>Cuerda interior</t>
  </si>
  <si>
    <t>Altura inferior</t>
  </si>
  <si>
    <t>Overfill line</t>
  </si>
  <si>
    <t>Vent line</t>
  </si>
  <si>
    <t>Cooldown line</t>
  </si>
  <si>
    <t>ang b</t>
  </si>
  <si>
    <t>Cuernos</t>
  </si>
  <si>
    <t>Manway</t>
  </si>
  <si>
    <t>Liquid Sample Line</t>
  </si>
  <si>
    <t>Liquid withdraw(40s)</t>
  </si>
  <si>
    <t>=</t>
  </si>
  <si>
    <t>Truck Unload line</t>
  </si>
  <si>
    <t>Gas phase line</t>
  </si>
  <si>
    <t>Over fill manual(40s)</t>
  </si>
  <si>
    <t>Varios</t>
  </si>
  <si>
    <t>Varios e imprevistos</t>
  </si>
  <si>
    <t>acc control y seguridad</t>
  </si>
  <si>
    <t>Coeficiente</t>
  </si>
  <si>
    <t>Peso Neto</t>
  </si>
  <si>
    <t>Principal</t>
  </si>
  <si>
    <t>Peso Shell</t>
  </si>
  <si>
    <t>Peso Principal</t>
  </si>
  <si>
    <t>Peso Roof</t>
  </si>
  <si>
    <t>Peso Fondo</t>
  </si>
  <si>
    <t>Tanque exterior</t>
  </si>
  <si>
    <t>Sujeción</t>
  </si>
  <si>
    <t>Kg/un</t>
  </si>
  <si>
    <t>Tubos de paso anclajes(PVC)(16) DN100</t>
  </si>
  <si>
    <t>Silletas-Anclajes(16)</t>
  </si>
  <si>
    <t>Anclajes</t>
  </si>
  <si>
    <t>Proteccion anclajes(1/2 tubos de int envolv)</t>
  </si>
  <si>
    <t>D tuberia</t>
  </si>
  <si>
    <t>D a Tanque ext</t>
  </si>
  <si>
    <t>Kg/m tubo</t>
  </si>
  <si>
    <t>anillo de barrido</t>
  </si>
  <si>
    <t>Virolas</t>
  </si>
  <si>
    <t>v2</t>
  </si>
  <si>
    <t>v3</t>
  </si>
  <si>
    <t>v4</t>
  </si>
  <si>
    <t>v5</t>
  </si>
  <si>
    <t>v6</t>
  </si>
  <si>
    <t>v7</t>
  </si>
  <si>
    <t>Rigidizadores internos(3)</t>
  </si>
  <si>
    <t>S</t>
  </si>
  <si>
    <t>sectores</t>
  </si>
  <si>
    <t>carota</t>
  </si>
  <si>
    <t>Kg/m</t>
  </si>
  <si>
    <t>Estructura-coronas(2) IPN 140</t>
  </si>
  <si>
    <t>kg/orejeta</t>
  </si>
  <si>
    <t>salida de tuberias:</t>
  </si>
  <si>
    <t>Nª</t>
  </si>
  <si>
    <t>3 bocas de hombre DN1000</t>
  </si>
  <si>
    <t>2 bocas perlitados DN200</t>
  </si>
  <si>
    <t>conexión PSV DN 150</t>
  </si>
  <si>
    <t>conexión clapeta DN 500</t>
  </si>
  <si>
    <t>tuberias ETC</t>
  </si>
  <si>
    <t>Escaleras y barandillas</t>
  </si>
  <si>
    <t>Escalera helicoidal</t>
  </si>
  <si>
    <t>perfiles</t>
  </si>
  <si>
    <t>peldaños</t>
  </si>
  <si>
    <t>rejillas</t>
  </si>
  <si>
    <t>Pasarela</t>
  </si>
  <si>
    <t>kg/unida</t>
  </si>
  <si>
    <t>zanco</t>
  </si>
  <si>
    <t>Barandilla techo</t>
  </si>
  <si>
    <t>Accesorios de contro y seguridad</t>
  </si>
  <si>
    <t>Supeficie 1º Losa</t>
  </si>
  <si>
    <t>Superficie 2º Losa</t>
  </si>
  <si>
    <t>kg/m2</t>
  </si>
  <si>
    <t>mallazos</t>
  </si>
  <si>
    <t>Ferralla</t>
  </si>
  <si>
    <t>varios e imprevistos</t>
  </si>
  <si>
    <t>Volumen Foamglass</t>
  </si>
  <si>
    <t>Volumen de perlita</t>
  </si>
  <si>
    <t>tanque interno</t>
  </si>
  <si>
    <t>straps</t>
  </si>
  <si>
    <t>fondo</t>
  </si>
  <si>
    <t>envolvente</t>
  </si>
  <si>
    <t>rigidizadores</t>
  </si>
  <si>
    <t>techo</t>
  </si>
  <si>
    <t>conexiones (aprox.)</t>
  </si>
  <si>
    <t>tanque externo</t>
  </si>
  <si>
    <t>anclajes</t>
  </si>
  <si>
    <t>escalera</t>
  </si>
  <si>
    <t>Thermal Calculation</t>
  </si>
  <si>
    <t>Front Cover</t>
  </si>
  <si>
    <t>Thermal Calculations</t>
  </si>
  <si>
    <t>Calculos Térmicos</t>
  </si>
  <si>
    <t>Mechanical Calculations</t>
  </si>
  <si>
    <t>Project/Proyecto:</t>
  </si>
  <si>
    <t>Reference Documents</t>
  </si>
  <si>
    <t xml:space="preserve">Thermal Losses /Perdidas Termicas </t>
  </si>
  <si>
    <t>Straps/Straps:</t>
  </si>
  <si>
    <t>Liquid Properties/Propiedades del Líquido:</t>
  </si>
  <si>
    <t>S7=</t>
  </si>
  <si>
    <t>m2</t>
  </si>
  <si>
    <t>S7= Na x Sa</t>
  </si>
  <si>
    <t>ft2</t>
  </si>
  <si>
    <t>T1=</t>
  </si>
  <si>
    <t>Stainless Steel Celullar glass Ring/Cinturón de Aº Inox. Vidrio Celular:</t>
  </si>
  <si>
    <t>Temperature/Temperatura (ºF)</t>
  </si>
  <si>
    <t>rho=</t>
  </si>
  <si>
    <t>Density/Densidad (kg/m3)</t>
  </si>
  <si>
    <t>S8=</t>
  </si>
  <si>
    <t>S8= PI x D4 x 0,0005</t>
  </si>
  <si>
    <t>Density/Densidad (lb/ft3)</t>
  </si>
  <si>
    <t>L=</t>
  </si>
  <si>
    <t>Vaporization Heat/Calor de latente (kJ/kg):</t>
  </si>
  <si>
    <t>Vaporization Heat/Calor de latente (BTU/lb):</t>
  </si>
  <si>
    <t>W=</t>
  </si>
  <si>
    <t>Weight of LOX (kg)</t>
  </si>
  <si>
    <t>Pipes(estimated)Tuberia ( estimada ):</t>
  </si>
  <si>
    <t>weight of LOX (lb)</t>
  </si>
  <si>
    <t>Ambient Temperature/Temperatura exterior (ºC):</t>
  </si>
  <si>
    <t>S6=</t>
  </si>
  <si>
    <t>Ambient Temperature/Temperatura exterior (ºF):</t>
  </si>
  <si>
    <t>T2=</t>
  </si>
  <si>
    <t>Inner Vessels Data/Datos del tanque interior</t>
  </si>
  <si>
    <t>CALCULATION OF TERMICAL LOSSES/CALCULO DE PÉRDIDAS TÉRMICAS</t>
  </si>
  <si>
    <t>D1=</t>
  </si>
  <si>
    <t>Shell internal Diameter/Diam. int. virola (m)</t>
  </si>
  <si>
    <t>Shell internal Diameter/Diam. int. virola (in)</t>
  </si>
  <si>
    <t>H1=</t>
  </si>
  <si>
    <t>Shell Height/Altura envolvente(m)</t>
  </si>
  <si>
    <t>Celullar glass/Vidrio Celular:</t>
  </si>
  <si>
    <t>Shell Height/Altura envolvente(in)</t>
  </si>
  <si>
    <t>LH=</t>
  </si>
  <si>
    <t>Height of Liquid/Altura del liquido (m)</t>
  </si>
  <si>
    <t>Q4=</t>
  </si>
  <si>
    <t>Q4= lambda4 x ( S4 / E4 + S´4 / (E4+E´4 ) x delta_T</t>
  </si>
  <si>
    <t>Height of Liquid/Altura del liquido (in)</t>
  </si>
  <si>
    <t>BTU/h</t>
  </si>
  <si>
    <t>E1=</t>
  </si>
  <si>
    <t>Shell average thickness/Esp. promedio virola (m)</t>
  </si>
  <si>
    <t>Shell average thickness/Esp. promedio virola (in)</t>
  </si>
  <si>
    <t>R1=</t>
  </si>
  <si>
    <t>Internal roof radius/Radio int. del techo (m)</t>
  </si>
  <si>
    <t>Internal roof radius/Radio int. del techo (in)</t>
  </si>
  <si>
    <t>G1=</t>
  </si>
  <si>
    <t>Roof Height/Altura del techo (m)</t>
  </si>
  <si>
    <t>Perlite/Perlita:</t>
  </si>
  <si>
    <t>Roof Height/Altura del techo (in)</t>
  </si>
  <si>
    <t>V=</t>
  </si>
  <si>
    <t>tank volume (m3)</t>
  </si>
  <si>
    <t>Q3=</t>
  </si>
  <si>
    <t>tank volume (ft3)</t>
  </si>
  <si>
    <t>Outer Vessel Data/Datos del tanque exterior</t>
  </si>
  <si>
    <t xml:space="preserve">Q3= lambda3 x ( Sr / Er + S3 / ( 0,5 x ( Do - Di ) ) + SB /(E4+ E´4 ) x delta_T </t>
  </si>
  <si>
    <t>D2=</t>
  </si>
  <si>
    <t>Internal shell Diameter/Diam. int. virola (m)</t>
  </si>
  <si>
    <t>Internal shell Diameter/Diam. int. virola (in)</t>
  </si>
  <si>
    <t>H2=</t>
  </si>
  <si>
    <t>R2=</t>
  </si>
  <si>
    <t>Internal Roof Radius/Radio int. del techo (m)</t>
  </si>
  <si>
    <t>Q7=</t>
  </si>
  <si>
    <t>Q7= lambda x S7 x delta_T /(E4+ E´4)</t>
  </si>
  <si>
    <t>Internal Roof Radius/Radio int. del techo (in)</t>
  </si>
  <si>
    <t>G2=</t>
  </si>
  <si>
    <t>Celullar glass Ring/Cinturón Vidrio Celular:</t>
  </si>
  <si>
    <t>Nr=</t>
  </si>
  <si>
    <t>Q8=</t>
  </si>
  <si>
    <t>Q8= lambda x S8 x delta_T / (E4+E´4)</t>
  </si>
  <si>
    <t>Dr=</t>
  </si>
  <si>
    <t>External Diameter/Diametro externo (m)</t>
  </si>
  <si>
    <t>External Diameter/Diametro externo (in)</t>
  </si>
  <si>
    <t>Hr=</t>
  </si>
  <si>
    <t>Height/Altura (m)</t>
  </si>
  <si>
    <t>Height/Altura (in)</t>
  </si>
  <si>
    <t>Pipe/Tuberia:</t>
  </si>
  <si>
    <t>Q6=</t>
  </si>
  <si>
    <t>Q6= lambda x S6 x delta_T / E3</t>
  </si>
  <si>
    <t>Ns=</t>
  </si>
  <si>
    <t>Ds=</t>
  </si>
  <si>
    <t>Internal Diameter/Diametro interno (m)</t>
  </si>
  <si>
    <t>Internal Diameter/Diametro interno (in)</t>
  </si>
  <si>
    <t>Hs=</t>
  </si>
  <si>
    <t>Thickness/Espesor (m)</t>
  </si>
  <si>
    <t>Total/Total:</t>
  </si>
  <si>
    <t>Thickness/Espesor (in)</t>
  </si>
  <si>
    <t>Q=</t>
  </si>
  <si>
    <t>Q= Q3 + Q4 + Q6 + Q7 + Q8</t>
  </si>
  <si>
    <t>Na=</t>
  </si>
  <si>
    <t>Number of straps/Numero de straps:</t>
  </si>
  <si>
    <t>Sa=</t>
  </si>
  <si>
    <t>Strap Area/Area de un strap (m2):</t>
  </si>
  <si>
    <t>DAILY EVAPORATION/EVAPORACION DIARIA:</t>
  </si>
  <si>
    <t>Strap Area/Area de un strap (in2):</t>
  </si>
  <si>
    <t>Perlite thickness/Espesor de perlita</t>
  </si>
  <si>
    <t>E= Q x 86400 / ( L x M x 1000 )</t>
  </si>
  <si>
    <t>E=</t>
  </si>
  <si>
    <t>E3=</t>
  </si>
  <si>
    <t>Perlite shell thickness/Perlita, espacio interpared virola (m):</t>
  </si>
  <si>
    <t>Perlite shell thickness/Perlita, espacio interpared virola (in):</t>
  </si>
  <si>
    <t>Er=</t>
  </si>
  <si>
    <t>Perlite Roof thickness/Perlita, espacio interpared techo (m):</t>
  </si>
  <si>
    <t>Perlite Roof thickness/Perlita, espacio interpared techo (in):</t>
  </si>
  <si>
    <t>GUARANTEE DAILY EVAPORATION/EVAPORACION GARANTIZADA POR DIA:</t>
  </si>
  <si>
    <t>Celullar glass thickness/Espesor vidrio celular:</t>
  </si>
  <si>
    <t>E4=</t>
  </si>
  <si>
    <t>In the Middle/En el centro (m)</t>
  </si>
  <si>
    <t>SAFETY FACTOR/COEFICIENTE DE SEGURIDAD:</t>
  </si>
  <si>
    <t>In the Middle/En el centro (in)</t>
  </si>
  <si>
    <t>E´4=</t>
  </si>
  <si>
    <t>Extrathickness due to concrete ring/Sobreespesor por anillo de hormigon</t>
  </si>
  <si>
    <t>External Celullar glass Diameter/Diametro externo de vidrio celular (m):</t>
  </si>
  <si>
    <t>D4=</t>
  </si>
  <si>
    <t>Celullar glass Diameter / Diametro de vidrio celular (m)</t>
  </si>
  <si>
    <t>Celullar glass Diameter / Diametro de vidrio celular (in)</t>
  </si>
  <si>
    <t>D´4=</t>
  </si>
  <si>
    <t>Diameter with concrete ring / Diametro con anillo de hormigon (m)</t>
  </si>
  <si>
    <t>Diameter with concrete ring / Diametro con anillo de hormigon (in)</t>
  </si>
  <si>
    <t>Lb=</t>
  </si>
  <si>
    <t>Concrete Ring Width/Anchura del anillo de hormigón (m):</t>
  </si>
  <si>
    <t>Concrete Ring Width/Anchura del anillo de hormigón (in):</t>
  </si>
  <si>
    <t>Properties of the insulation materials/Propiedades de los aislantes</t>
  </si>
  <si>
    <t>INSULATE WEIGHTS/PESOS DE LOS AISLAMIENTOS:</t>
  </si>
  <si>
    <t>W3=</t>
  </si>
  <si>
    <t>Perlite specific gravity/Gravedad especifica Perlita (Kg/m3)</t>
  </si>
  <si>
    <t>Perlite specific gravity/Gravedad especifica Perlita (lb/ft3)</t>
  </si>
  <si>
    <t>W4=</t>
  </si>
  <si>
    <t>Celullar glass specific gravity/Gravedad especifica Vidrio Celular (Kg/m3)</t>
  </si>
  <si>
    <t>Bottom inner vessels insulate/Aislamiento  fondo tanque interior:</t>
  </si>
  <si>
    <t>Celullar glass specific gravity/Gravedad especifica Vidrio Celular (lb/ft3)</t>
  </si>
  <si>
    <t>Perlite Thermal Conductivity/Conductividad térmica Perlita:</t>
  </si>
  <si>
    <t>Lambda3=</t>
  </si>
  <si>
    <t>W/m ºC</t>
  </si>
  <si>
    <t>BTU in/hr F ft2</t>
  </si>
  <si>
    <t>Low concrete slab weight/Peso capa inferior de hormigón</t>
  </si>
  <si>
    <t>lb</t>
  </si>
  <si>
    <t>Upper concrete slab weight/Peso capa superior de hormigón</t>
  </si>
  <si>
    <t>Celullar glass Thermal Conductivity/Conductividad térmica Vidrio Celular:</t>
  </si>
  <si>
    <t>Ringwall weight/Peso anillo de hormigón</t>
  </si>
  <si>
    <t>Lambda4=</t>
  </si>
  <si>
    <t>HLB 800</t>
  </si>
  <si>
    <t>Foamglss Weight/Peso Celullar glass</t>
  </si>
  <si>
    <t xml:space="preserve">HLB 800 </t>
  </si>
  <si>
    <t>Lambda4´=</t>
  </si>
  <si>
    <t>HLB 1000</t>
  </si>
  <si>
    <t>Whole weight/Peso total</t>
  </si>
  <si>
    <t>Thermal Conductivity of stainless steel/Conductividad térmica Aº Inox.:</t>
  </si>
  <si>
    <t>Lambda=</t>
  </si>
  <si>
    <t>Shell thickness/Aislamiento en la interpared</t>
  </si>
  <si>
    <t>Low concrete slab/Capa inferior de hormigón</t>
  </si>
  <si>
    <t>Liquid Mass/Masa del liquido:</t>
  </si>
  <si>
    <t xml:space="preserve">Perlite/Perlita </t>
  </si>
  <si>
    <t>M=</t>
  </si>
  <si>
    <t>Kg</t>
  </si>
  <si>
    <t>M=  ( PI x D12 x  LH/4 ) x W</t>
  </si>
  <si>
    <t>Perlite over the inner vessel roof/Perlita sobre techo del tanque interior</t>
  </si>
  <si>
    <t>Height of perlie/Altura de perlita</t>
  </si>
  <si>
    <t>Average Inner Vessel Diameter/Diametro medio del recipiente:</t>
  </si>
  <si>
    <t>Volumes</t>
  </si>
  <si>
    <t>Di=</t>
  </si>
  <si>
    <t>Di=[ ( H1 - Nr x Hr )x( D1 + 2 x E1 ) + Nr x Hr x Dr]/H1</t>
  </si>
  <si>
    <t>Volumen de Foamglas</t>
  </si>
  <si>
    <t>ft3</t>
  </si>
  <si>
    <t>Volumen de la Interpared(Perlita)</t>
  </si>
  <si>
    <t>Volumen del techo(Perlita)</t>
  </si>
  <si>
    <t>Average Outer Tank Diameter/Diametro medio recipiente ext.:</t>
  </si>
  <si>
    <t>Do=</t>
  </si>
  <si>
    <t>Do=[ ( H2 - Ns x Hs ) x D2 + Ns x Hs x Ds ] / H2</t>
  </si>
  <si>
    <t>Temperature Difference/Diferencia de temperatura:</t>
  </si>
  <si>
    <t>delta _T=</t>
  </si>
  <si>
    <t>ºC</t>
  </si>
  <si>
    <t>delta_T= T2 - T1</t>
  </si>
  <si>
    <t>ºF</t>
  </si>
  <si>
    <t>Average Temperature/Temperatura media</t>
  </si>
  <si>
    <t>Tm=</t>
  </si>
  <si>
    <t>Tm= ( T1 + T2 ) / 2</t>
  </si>
  <si>
    <t>CALCULATION OF AVERAGE SURFACE/CALCULO DE SUPERFICIE PROMEDIO:</t>
  </si>
  <si>
    <t xml:space="preserve">Celullar glass/Vidrio Celular: </t>
  </si>
  <si>
    <t>S4=</t>
  </si>
  <si>
    <t>S4= PI x D´42 / 4</t>
  </si>
  <si>
    <t>(in case of concrete ringwall)/(en caso de anillo de hormigón):</t>
  </si>
  <si>
    <t>S´4=</t>
  </si>
  <si>
    <t>S´4= PI x D42 / 4 - S4</t>
  </si>
  <si>
    <t>Techo:</t>
  </si>
  <si>
    <t>Sr=</t>
  </si>
  <si>
    <t>Sr= [( 2 x PI R1 x G1 ) x ( 2 x PI x R2 x G2 )] (1/2)</t>
  </si>
  <si>
    <t>Virola:</t>
  </si>
  <si>
    <t>S3=</t>
  </si>
  <si>
    <t>S3= PI x 0,5 x (  Do + Di ) x 0,5 x ( H1 + H2 )</t>
  </si>
  <si>
    <t>Bottom/Fondo:</t>
  </si>
  <si>
    <t>SB=</t>
  </si>
  <si>
    <t>SB= PI x [ ( 0,5 x ( Do + Di ) )2-D42 ] / 4</t>
  </si>
  <si>
    <t>Thermal Losses at Maximun Ambient Temperature/Perdidas Termicas a maxima temperatura ambiental</t>
  </si>
  <si>
    <t>LOX</t>
  </si>
  <si>
    <t>Vaporization Heat/Calor de latente (KJ/Kg):</t>
  </si>
  <si>
    <t>lambda3= ( 1,292E - 4 +  0,2564E - 6 x Tm ) x ( W3 + 400 ) - 0,019478</t>
  </si>
  <si>
    <t>Inner Vessel Thickness</t>
  </si>
  <si>
    <t>Design Data/Datos de Diseño</t>
  </si>
  <si>
    <t>kg, Weight of roof and other elements over the shell/Peso del techo y de todos los elementos sobre la envolvente</t>
  </si>
  <si>
    <t>lb, Weight of roof and other elements over the shell/Peso del techo y de todos los elementos sobre la envolvente</t>
  </si>
  <si>
    <t>ρm</t>
  </si>
  <si>
    <t>kg/m3, Steel density/Densidad del acero</t>
  </si>
  <si>
    <t>lb/ft3, Steel density/Densidad del acero</t>
  </si>
  <si>
    <t>ρl</t>
  </si>
  <si>
    <t>Kg/m3,Liquid Density/Densidad del Liquido</t>
  </si>
  <si>
    <t>lb/ft3,Liquid Density/Densidad del Liquido</t>
  </si>
  <si>
    <t>Pi</t>
  </si>
  <si>
    <t>Bar, Internal Pressure in the tank/Presión interior en tanque</t>
  </si>
  <si>
    <t>psi, Internal Pressure in the tank/Presión interior en tanque</t>
  </si>
  <si>
    <t>Pext</t>
  </si>
  <si>
    <t>Bar, External Pressure for the tank/Presión de diseño exterior</t>
  </si>
  <si>
    <t>psi, External Pressure for the tank/Presión de diseño exterior</t>
  </si>
  <si>
    <t>St</t>
  </si>
  <si>
    <t>Mpa, Maximun allowable stress for simple tension/Tension max. Admisible</t>
  </si>
  <si>
    <t>psi, Maximun allowable stress for simple tension/Tension max. Admisible</t>
  </si>
  <si>
    <t>Smts</t>
  </si>
  <si>
    <t>Mpa,Specified Minimum Tensile Strength/Carga de rotura garantizado</t>
  </si>
  <si>
    <t>psi,Specified Minimum Tensile Strength/Carga de rotura garantizado</t>
  </si>
  <si>
    <t>El</t>
  </si>
  <si>
    <t>Welding meridional Efficiency/Eficiencia de soldadura vertical</t>
  </si>
  <si>
    <t>Ec</t>
  </si>
  <si>
    <t>Welding Latitudinal Efficiency/Eficiencia de soldadura circular</t>
  </si>
  <si>
    <t>Di</t>
  </si>
  <si>
    <t>m, Internal Diameter/Diámetro interior</t>
  </si>
  <si>
    <t>in, Internal Diameter/Diámetro interior</t>
  </si>
  <si>
    <t>H</t>
  </si>
  <si>
    <t>m, Maximun Liquid Height/ Altura de líquido maxima</t>
  </si>
  <si>
    <t>in, Maximun Liquid Height/ Altura de líquido maxima</t>
  </si>
  <si>
    <t>Pressure and Loads Calculation/ Calculos  de Presion y de Cargas</t>
  </si>
  <si>
    <t xml:space="preserve"> Thickness,t</t>
  </si>
  <si>
    <t>Stiffneners</t>
  </si>
  <si>
    <t>Liquid Height, Hl</t>
  </si>
  <si>
    <t>Weight over the level,Wv</t>
  </si>
  <si>
    <t>Pressure at the level Pv</t>
  </si>
  <si>
    <t>Espesor ,t</t>
  </si>
  <si>
    <t>Altura Hv</t>
  </si>
  <si>
    <t>Altura de Liquido,Hl</t>
  </si>
  <si>
    <t>Peso sobre virola, Wv</t>
  </si>
  <si>
    <t>Presion sobre virola,Pv</t>
  </si>
  <si>
    <t>N/mm2</t>
  </si>
  <si>
    <t>psi</t>
  </si>
  <si>
    <t>Calculation of Forces, Stress and minimun thickness/Calculo de fuerzas, tensisones y espesores minimos (5.10.2)</t>
  </si>
  <si>
    <t>Shell Course</t>
  </si>
  <si>
    <t>Minimun Thickness/ Espesor minimo</t>
  </si>
  <si>
    <t>Stress</t>
  </si>
  <si>
    <t>Forces</t>
  </si>
  <si>
    <t>T1(N/m)</t>
  </si>
  <si>
    <t>T2(N/m)</t>
  </si>
  <si>
    <t>t mm(T1)</t>
  </si>
  <si>
    <t>t mm(T2)</t>
  </si>
  <si>
    <t>St meri, MPa</t>
  </si>
  <si>
    <t>St lati MPa</t>
  </si>
  <si>
    <t xml:space="preserve">St meri, </t>
  </si>
  <si>
    <t xml:space="preserve">St lati </t>
  </si>
  <si>
    <t>N/m</t>
  </si>
  <si>
    <t>Mpa</t>
  </si>
  <si>
    <t>Results Checks/ Comprobacion de resultados</t>
  </si>
  <si>
    <t>Circumferential Welds</t>
  </si>
  <si>
    <t>Vertical Welds</t>
  </si>
  <si>
    <t>Circunferencial Welds</t>
  </si>
  <si>
    <t>RATIO</t>
  </si>
  <si>
    <t>Soldadura circunferencial</t>
  </si>
  <si>
    <t>Soldadura Verticales</t>
  </si>
  <si>
    <t>No Radiographic</t>
  </si>
  <si>
    <t xml:space="preserve">Annular bottom plate/ Anillo de fondo de la chapa inferior </t>
  </si>
  <si>
    <t>in, Annular Bottom plate width/ Anchura del anillo de fondo</t>
  </si>
  <si>
    <t>tb</t>
  </si>
  <si>
    <t>in, Annular bottom plate thickness/ Espesor de la chapa del anillo de fondo</t>
  </si>
  <si>
    <t>mm, Annular Bottom plate width/ Anchura del anillo de fondo</t>
  </si>
  <si>
    <t>Lmin</t>
  </si>
  <si>
    <t>in, Minimun width/ Anchura minima minima</t>
  </si>
  <si>
    <t>mm, Annular bottom plate thickness/ Espesor de la chapa del anillo de fondo</t>
  </si>
  <si>
    <t>mm, Minimun width/ Anchura minima minima</t>
  </si>
  <si>
    <t>Load Combination 1</t>
  </si>
  <si>
    <t>For loads acting in axial direction</t>
  </si>
  <si>
    <t>1a)</t>
  </si>
  <si>
    <t>IL (N/m)</t>
  </si>
  <si>
    <t>Pe</t>
  </si>
  <si>
    <t>sin considerar el liquido</t>
  </si>
  <si>
    <t>DL (N/m)</t>
  </si>
  <si>
    <t>Pe (N/m)</t>
  </si>
  <si>
    <t>min. Thickness (mm)</t>
  </si>
  <si>
    <t>Thickness selected (mm)</t>
  </si>
  <si>
    <t>Ppt</t>
  </si>
  <si>
    <t>Perlite Pressure at bottom/Presión de la perlita fondo</t>
  </si>
  <si>
    <t>d</t>
  </si>
  <si>
    <t>Perlite Density/Densidad De Perlita</t>
  </si>
  <si>
    <t>lb/ft3</t>
  </si>
  <si>
    <t>IL</t>
  </si>
  <si>
    <t>external pressure</t>
  </si>
  <si>
    <t>Insulation pressutre</t>
  </si>
  <si>
    <t>Stress deu to Pressure at the level Pv</t>
  </si>
  <si>
    <t xml:space="preserve">Pe </t>
  </si>
  <si>
    <t xml:space="preserve">1a)=1b) =&gt; S, LL, W not applicale for inner tank. </t>
  </si>
  <si>
    <t>N/mm3</t>
  </si>
  <si>
    <t>DL</t>
  </si>
  <si>
    <t>For loads acting in circumferential direction</t>
  </si>
  <si>
    <t>LL</t>
  </si>
  <si>
    <t>psf</t>
  </si>
  <si>
    <t xml:space="preserve">1a)=1b) =&gt; W not applicale for inner tank. </t>
  </si>
  <si>
    <t>Load Combination 2</t>
  </si>
  <si>
    <t>2a)</t>
  </si>
  <si>
    <t xml:space="preserve">For loads acting in circumferential direction: </t>
  </si>
  <si>
    <t>2c)</t>
  </si>
  <si>
    <t>Scs</t>
  </si>
  <si>
    <t>t/R</t>
  </si>
  <si>
    <t>Scs (lb/in2)</t>
  </si>
  <si>
    <t>Scs (Mpa)</t>
  </si>
  <si>
    <t>Sca (lb/in2)</t>
  </si>
  <si>
    <t>Sca (Mpa)</t>
  </si>
  <si>
    <t>Lminc</t>
  </si>
  <si>
    <t>in, Minimun width calculated/ Anchura minima minima calculada</t>
  </si>
  <si>
    <t xml:space="preserve">in, Inside mimimum width API 620 5.9.4.6 / API-620 Q.3.5.1 / API-620 R 3.5.1	</t>
  </si>
  <si>
    <t>mm, Minimun width calculated/ Anchura minima minima calculada</t>
  </si>
  <si>
    <t xml:space="preserve">mm, Inside mimimum width API 620 5.9.4.6 / API-620 Q.3.5.1 / API-620 R 3.5.1	</t>
  </si>
  <si>
    <t>1a)=1b)</t>
  </si>
  <si>
    <t>T1</t>
  </si>
  <si>
    <t>T2</t>
  </si>
  <si>
    <t>na</t>
  </si>
  <si>
    <t>DL/A(N/m2)</t>
  </si>
  <si>
    <t>Pe (N/m2)</t>
  </si>
  <si>
    <t>IL (N/m2) shell</t>
  </si>
  <si>
    <t>1,35 Pe+1,5*IL
 (N/m2)</t>
  </si>
  <si>
    <t>1,35DL/A
(N/m2)</t>
  </si>
  <si>
    <t>T1 (N/m)</t>
  </si>
  <si>
    <t>T2 (N/m)</t>
  </si>
  <si>
    <t>min. Thickness (mm) T1</t>
  </si>
  <si>
    <t>min. Thickness (mm) T2</t>
  </si>
  <si>
    <t>Thickness 
selected 
(mm)</t>
  </si>
  <si>
    <t>N/m2</t>
  </si>
  <si>
    <t>Same as load combination 1 as W, S &amp;LL not applicable for inner tank</t>
  </si>
  <si>
    <t>Inner Vessel Thickness(Pressure Test)</t>
  </si>
  <si>
    <t>Inner Vessel Thickness (Pressure Test)</t>
  </si>
  <si>
    <t>Design Data/Datos de Diseño (Case shell under test conditions)</t>
  </si>
  <si>
    <t>Kg/m3,Water Density/Densidad del agua</t>
  </si>
  <si>
    <t>lb/ft3,Water Density/Densidad del agua</t>
  </si>
  <si>
    <t>Welding meridional Efficiency/Eficiencia de soldadura longitudinal</t>
  </si>
  <si>
    <t>Welding Longitudinal Efficiency/Eficiencia de soldadura circular</t>
  </si>
  <si>
    <t>m, Maximun Water Height/ Altura de agua maxima</t>
  </si>
  <si>
    <t>in, Maximun Water Height/ Altura de agua maxima</t>
  </si>
  <si>
    <t>Geometrical, Pressure and Loads Calculation/ Calculos Geometricos, de Presion y de Cargas</t>
  </si>
  <si>
    <t>Altura ,Hv</t>
  </si>
  <si>
    <t>Rigidizador</t>
  </si>
  <si>
    <t>Calculation of Forces, Stress and minimun thickness/Calculo de fuerzas, tensiones y espesores minimos (5.10.2)</t>
  </si>
  <si>
    <t>St meri</t>
  </si>
  <si>
    <t>St lati</t>
  </si>
  <si>
    <t>Inner Vessel Thickness(Liquid up to Safety Valve)</t>
  </si>
  <si>
    <t>Inner Vessel Thickness (Liquid up to Safety Valve)</t>
  </si>
  <si>
    <t>Design Data/Datos de Diseño (case shell full of liquid)</t>
  </si>
  <si>
    <t>Kg/m3,Product Density/Densidad del producto</t>
  </si>
  <si>
    <t>lb/ft3,Product Density/Densidad del agua</t>
  </si>
  <si>
    <t>Mpa, Maximun allowable stress 90% Yield Stress-1%</t>
  </si>
  <si>
    <t>m, Maximun Liquid Height/ Altura de liquido maxima</t>
  </si>
  <si>
    <t xml:space="preserve">in, Maximun Liquid Height/ Altura de liquido maxima. </t>
  </si>
  <si>
    <t>551"(shell)+90"(inner roof)+58"(perlite)+45,65"(PSV)</t>
  </si>
  <si>
    <t>Geometrical, Pressure and Loads Calculation/ Calculos Geometricos de Presion y de Cargas</t>
  </si>
  <si>
    <t>Inner Vessel Stiffners Rings</t>
  </si>
  <si>
    <t>Inner Vessel Stiffners Rings, Inner Tank under external pressure / Rigidizadores del tanque interior, Tanque interior bajo presión externa (API 650-V.8)</t>
  </si>
  <si>
    <t>DESIGN DATA/DATOS DE DISEÑO:</t>
  </si>
  <si>
    <t>Do</t>
  </si>
  <si>
    <t>Max. External Diameter/Diametro exterior maximo</t>
  </si>
  <si>
    <t>ft</t>
  </si>
  <si>
    <t>E</t>
  </si>
  <si>
    <t>Modulus of elasticity/Módulo de elasticidad</t>
  </si>
  <si>
    <t>F</t>
  </si>
  <si>
    <t>Safety Factor/Factor de seguridad</t>
  </si>
  <si>
    <t>Sa</t>
  </si>
  <si>
    <t>Allowable Stress/Fatiga admisible</t>
  </si>
  <si>
    <t>t1</t>
  </si>
  <si>
    <t>Average thickness of the shell/Espesor medio entre anillos, t1</t>
  </si>
  <si>
    <t>u</t>
  </si>
  <si>
    <t xml:space="preserve">Poisson's Ratio/Coeficiente de Poissons,u </t>
  </si>
  <si>
    <t>Shell Height/Altura total</t>
  </si>
  <si>
    <t>f</t>
  </si>
  <si>
    <t>Smallest allowable tensile stress</t>
  </si>
  <si>
    <t>N^2</t>
  </si>
  <si>
    <t>Number of complete waves into which stiffener ring will buckle/Número de ondas bajo las cuales pandea el anillo</t>
  </si>
  <si>
    <t>N^2 =0.663 /(H/Do)(t1/Do)^1/2  &lt;= 100</t>
  </si>
  <si>
    <t>Ø1</t>
  </si>
  <si>
    <t>Internal friction angle</t>
  </si>
  <si>
    <t>Øw</t>
  </si>
  <si>
    <t>Wall friction angle</t>
  </si>
  <si>
    <t>K</t>
  </si>
  <si>
    <t>Lateral pressure  coefficient, K=(1-senØ1)/(1+senØ1)</t>
  </si>
  <si>
    <t>μ</t>
  </si>
  <si>
    <t>Friction coefficient on lateral wall</t>
  </si>
  <si>
    <t>zo</t>
  </si>
  <si>
    <t>Janssen characteristic depth (zo=A/(KμU))</t>
  </si>
  <si>
    <t>Stiffener Design/Diseño de Rigidizador</t>
  </si>
  <si>
    <t>Nr</t>
  </si>
  <si>
    <t>Dr</t>
  </si>
  <si>
    <t>mm, External Diameter/Diametro externo</t>
  </si>
  <si>
    <t>Hw</t>
  </si>
  <si>
    <t>mm, Wing Height/Altura del Ala</t>
  </si>
  <si>
    <t>in, External Diameter/Diametro externo</t>
  </si>
  <si>
    <t>in, Wing Height/Altura del Ala</t>
  </si>
  <si>
    <t>La</t>
  </si>
  <si>
    <t>mm Length of the core/Longitud del Alma</t>
  </si>
  <si>
    <t>Tw</t>
  </si>
  <si>
    <t>mm, Wing thickness/Espesor del ala</t>
  </si>
  <si>
    <t>in, Length of the core/Longitud del Alma</t>
  </si>
  <si>
    <t>in, Wing thickness/Espesor del ala</t>
  </si>
  <si>
    <t>Ta</t>
  </si>
  <si>
    <t>in, Thickness of the core/Espesor del Alma</t>
  </si>
  <si>
    <t>At</t>
  </si>
  <si>
    <t>in2, Area of Stiffener/Area del Rigidizador</t>
  </si>
  <si>
    <t>Geometrical Calculation for Extra Height for Perlite Pressure / Calculos geometricos para altura extra para la presión d eperlita</t>
  </si>
  <si>
    <t>Rt=</t>
  </si>
  <si>
    <t>Outer Roof Radius/Radio del techo exterior</t>
  </si>
  <si>
    <t>Rs=</t>
  </si>
  <si>
    <t>Inner tank Roof Radius/Radio del techo del tanque Interior</t>
  </si>
  <si>
    <t>seno u</t>
  </si>
  <si>
    <t>cos u</t>
  </si>
  <si>
    <t>hd</t>
  </si>
  <si>
    <t>Height difference between inner tank and outer tank/Diferencia de alturas entre el tanque exterior e interior</t>
  </si>
  <si>
    <t xml:space="preserve">Hp </t>
  </si>
  <si>
    <t>Extra Perlite height due to Roof/Altura extra de perlita del techo</t>
  </si>
  <si>
    <t>Hfi</t>
  </si>
  <si>
    <t>Perlite Height/Altura de perlita</t>
  </si>
  <si>
    <t>Pessure Conditions/Condiciones de Presion</t>
  </si>
  <si>
    <t>Pip</t>
  </si>
  <si>
    <t>Purge Pressure/Presión interpared (purge design)</t>
  </si>
  <si>
    <t>Pv</t>
  </si>
  <si>
    <t>Vacuum in Tank/ Vacío en el tanque</t>
  </si>
  <si>
    <t>Interspace Pressure/Presión interpared (purge design)</t>
  </si>
  <si>
    <t>Minimum perlite compaction (100 psf=0,6944 psi)</t>
  </si>
  <si>
    <t>P =</t>
  </si>
  <si>
    <t>Overall External Pressure/Presion Total Externa</t>
  </si>
  <si>
    <t>100 psf Minimum perlite compaction (0,0479 bar)</t>
  </si>
  <si>
    <t>Pressure at stiffener/Presiones en rigidizadores</t>
  </si>
  <si>
    <t>Yr</t>
  </si>
  <si>
    <t>Pperlite</t>
  </si>
  <si>
    <t>Pmin</t>
  </si>
  <si>
    <t>P</t>
  </si>
  <si>
    <t>Pperlite (psi)</t>
  </si>
  <si>
    <t>Pext (psi)</t>
  </si>
  <si>
    <t>Pmin (psi)</t>
  </si>
  <si>
    <t>P (psi)</t>
  </si>
  <si>
    <t>P1=</t>
  </si>
  <si>
    <t>P2=</t>
  </si>
  <si>
    <t>P3=</t>
  </si>
  <si>
    <t>P4=</t>
  </si>
  <si>
    <t>P5=</t>
  </si>
  <si>
    <t>P6=</t>
  </si>
  <si>
    <t>P7=</t>
  </si>
  <si>
    <t>P8=</t>
  </si>
  <si>
    <t>P9=</t>
  </si>
  <si>
    <t>P10=</t>
  </si>
  <si>
    <t>P11=</t>
  </si>
  <si>
    <t>12=</t>
  </si>
  <si>
    <t>Ratio</t>
  </si>
  <si>
    <t>stiffener</t>
  </si>
  <si>
    <t>roof</t>
  </si>
  <si>
    <t>total height</t>
  </si>
  <si>
    <t>,</t>
  </si>
  <si>
    <t>Shell thickness/Espesor de la envolvente</t>
  </si>
  <si>
    <t>Distance to previous stiffener/Distancia al anterior rigidizador</t>
  </si>
  <si>
    <t>Ls</t>
  </si>
  <si>
    <t>Maximun distance between stiffeners / Maxima distancia entre rigidizadores</t>
  </si>
  <si>
    <t>Maximun Ls calculated/Ls maximo calculado</t>
  </si>
  <si>
    <t>Ls choosen/Ls adoptada</t>
  </si>
  <si>
    <t>Accumulated height/Altura Acumulada</t>
  </si>
  <si>
    <t xml:space="preserve">MOMENT OF INERTIA/MOMENTO DE INERCIA </t>
  </si>
  <si>
    <t>Ix min</t>
  </si>
  <si>
    <t>Ws</t>
  </si>
  <si>
    <t>Ws allow</t>
  </si>
  <si>
    <t>En</t>
  </si>
  <si>
    <t>Ixd</t>
  </si>
  <si>
    <t>in4</t>
  </si>
  <si>
    <t>mm4</t>
  </si>
  <si>
    <t>cm4</t>
  </si>
  <si>
    <t>q</t>
  </si>
  <si>
    <t>wshell</t>
  </si>
  <si>
    <t>Areq</t>
  </si>
  <si>
    <t>Arig</t>
  </si>
  <si>
    <t>I api/I AP</t>
  </si>
  <si>
    <t>Ix</t>
  </si>
  <si>
    <t>Moment of inertia of combined stiffener and shell/Momento de Inercia combinado de rigidizador y envolvente</t>
  </si>
  <si>
    <t>Minimun Ix /Ix minimo</t>
  </si>
  <si>
    <t>Width of shell used for moment of inertia calculations using formula/Anchura de envolvente para calculo del momento de inercia según formula</t>
  </si>
  <si>
    <t>Width of shell chosen  for moment of inertia, minimun between Ws or Ws that give a shell area equal to area of stiffener /Anchura de envolvente escogida para el calculo de momento de inercia, minimo entre el Ws calcula y o el Ws que da area de envolvente igual al area del rigidizador</t>
  </si>
  <si>
    <t xml:space="preserve">Neutral axis/Eje Neutro </t>
  </si>
  <si>
    <t>Design Moment of inertia /Momento de inercia de diseño</t>
  </si>
  <si>
    <t>AREA OF STIFFENER/SECCIÓN  DEL RIGIDIZADOR</t>
  </si>
  <si>
    <t>Amin</t>
  </si>
  <si>
    <t>Ashell</t>
  </si>
  <si>
    <t>Astiff</t>
  </si>
  <si>
    <t>Ad</t>
  </si>
  <si>
    <t>in2</t>
  </si>
  <si>
    <t xml:space="preserve">A min </t>
  </si>
  <si>
    <t>Necessary Area of stiffener+shell/Area de rigidizador+envolvente necesaria</t>
  </si>
  <si>
    <t>Shell area included in the whole area/Area de la envolvente que participa en el area total</t>
  </si>
  <si>
    <t>Stiffener Area/Area del rigidizador</t>
  </si>
  <si>
    <t xml:space="preserve">Whole Design Area/Area de Diseño total </t>
  </si>
  <si>
    <t>STIFFENER END REGIONS</t>
  </si>
  <si>
    <t>th</t>
  </si>
  <si>
    <t>Xshell</t>
  </si>
  <si>
    <t>Xend</t>
  </si>
  <si>
    <t>parte techo</t>
  </si>
  <si>
    <t>parte fondo</t>
  </si>
  <si>
    <t>lb/in</t>
  </si>
  <si>
    <t>ws (mm)</t>
  </si>
  <si>
    <t>Roof</t>
  </si>
  <si>
    <t>V1(N/m)</t>
  </si>
  <si>
    <t>Bottom</t>
  </si>
  <si>
    <t>Ireq</t>
  </si>
  <si>
    <t>Istiff</t>
  </si>
  <si>
    <t>Xdome</t>
  </si>
  <si>
    <t>Xbottom</t>
  </si>
  <si>
    <t>Istiff/Ireq</t>
  </si>
  <si>
    <t>th:</t>
  </si>
  <si>
    <t>thickness of the end region studied</t>
  </si>
  <si>
    <t>V1:</t>
  </si>
  <si>
    <t>radial load because of external pressure</t>
  </si>
  <si>
    <t>X:</t>
  </si>
  <si>
    <t>dimensions under compression ring region</t>
  </si>
  <si>
    <t>A:</t>
  </si>
  <si>
    <t>Area required (req) and designed (stiff)</t>
  </si>
  <si>
    <t>I:</t>
  </si>
  <si>
    <t>Moment of inertia required (req) and designed (stiff)</t>
  </si>
  <si>
    <t>v1</t>
  </si>
  <si>
    <t>N2</t>
  </si>
  <si>
    <t>in Length of the core/Longitud del Alma</t>
  </si>
  <si>
    <t>Interpace Pressure/Presión interpared</t>
  </si>
  <si>
    <t>P12=</t>
  </si>
  <si>
    <t>Purge Pressure/Presión interpared</t>
  </si>
  <si>
    <t>Minimum perlite compaction</t>
  </si>
  <si>
    <t>100 psf Minimum perlite compaction (0,694 psi)</t>
  </si>
  <si>
    <t xml:space="preserve">Inner Vessel Roof </t>
  </si>
  <si>
    <t>Maximun allowable stress /Tension a traccion maxima garantizada</t>
  </si>
  <si>
    <t>psi, Maximun allowable stress /Tension a traccion maxima garantizada</t>
  </si>
  <si>
    <t xml:space="preserve">Welding  Efficiency/Eficiencia de soldadura </t>
  </si>
  <si>
    <t>Ri</t>
  </si>
  <si>
    <t>in, Inner Roof Radius/Radio interior del techo</t>
  </si>
  <si>
    <t>m, Inner Roof Radius/Radio interior del techo</t>
  </si>
  <si>
    <t>tc</t>
  </si>
  <si>
    <t>in, roof thicknes for central part</t>
  </si>
  <si>
    <t>tp</t>
  </si>
  <si>
    <t>in, roof thicknes for peripherical part</t>
  </si>
  <si>
    <t>bar, Other Loads such as snow load/Otras cargas como carga nivea</t>
  </si>
  <si>
    <t>Bar, Internal pressure in the tank/Presión interior en tanque</t>
  </si>
  <si>
    <t>Thickness calculation (central part)</t>
  </si>
  <si>
    <t>Pressure on the roof  Pv</t>
  </si>
  <si>
    <t>Total pressure on roof</t>
  </si>
  <si>
    <t>bar</t>
  </si>
  <si>
    <t>Presion sobre techo,Pv</t>
  </si>
  <si>
    <t>PI</t>
  </si>
  <si>
    <t>W (lb)</t>
  </si>
  <si>
    <t>PI (psi)</t>
  </si>
  <si>
    <t>Internal Pressure</t>
  </si>
  <si>
    <t>OJO CON LOS SIGNOS EN LAS FORMULAS, HAY QUE REVISARLO PARA HACERLO GENERICO ESTABLECIENDO CONVENIO DE SIGNOS</t>
  </si>
  <si>
    <t>External Pressure only</t>
  </si>
  <si>
    <t>Test</t>
  </si>
  <si>
    <t>W=0</t>
  </si>
  <si>
    <t>Pext=</t>
  </si>
  <si>
    <t>Internal pressure</t>
  </si>
  <si>
    <t>Test whithout Perlite</t>
  </si>
  <si>
    <t>no weight</t>
  </si>
  <si>
    <t>External Pressure + insulation+ design purge</t>
  </si>
  <si>
    <t>External Pressure + Insulation+ Design Purge</t>
  </si>
  <si>
    <t>Pi= inner tank design pressure</t>
  </si>
  <si>
    <t>Min. Thickness</t>
  </si>
  <si>
    <t>Pi=</t>
  </si>
  <si>
    <t>Pext=outer tank vaccum pressure</t>
  </si>
  <si>
    <t>Espesor Min</t>
  </si>
  <si>
    <t>External pressure only</t>
  </si>
  <si>
    <t xml:space="preserve"> weight= plates + insulation</t>
  </si>
  <si>
    <t>Pi= inner tank vacuum pressure</t>
  </si>
  <si>
    <t>Pext=outer tank worst case purge pressure</t>
  </si>
  <si>
    <t>Pi= inner tank test pressure</t>
  </si>
  <si>
    <t>Test without perlite</t>
  </si>
  <si>
    <t xml:space="preserve"> weight= plates </t>
  </si>
  <si>
    <t>Calculation of Forces and Stress (central part) / Calculo de fuerzas y tensiones(5.10.2)</t>
  </si>
  <si>
    <t>St latitu MPa</t>
  </si>
  <si>
    <t>St latitu</t>
  </si>
  <si>
    <t>lbf/in</t>
  </si>
  <si>
    <t>Pext=perlite + design purge</t>
  </si>
  <si>
    <t>tension +</t>
  </si>
  <si>
    <t>compression -</t>
  </si>
  <si>
    <t>Thickness calculation (peripherical part) (5.10.3.5)</t>
  </si>
  <si>
    <t>Calculation of Forces and Stress (peripherical part) / Calculo de fuerzas y tensiones(5.10.2)</t>
  </si>
  <si>
    <t>calculo T2 peripherical</t>
  </si>
  <si>
    <t>cosalpha</t>
  </si>
  <si>
    <t>P1 (de gravedad)</t>
  </si>
  <si>
    <t>P2 (de presion)</t>
  </si>
  <si>
    <t>sup. Techo</t>
  </si>
  <si>
    <t>step 1</t>
  </si>
  <si>
    <t>t1 (in)</t>
  </si>
  <si>
    <t xml:space="preserve">step 2 </t>
  </si>
  <si>
    <t>&lt;</t>
  </si>
  <si>
    <t>t2 (in)</t>
  </si>
  <si>
    <t>por peso</t>
  </si>
  <si>
    <t>t2</t>
  </si>
  <si>
    <t>por presion</t>
  </si>
  <si>
    <t>Minimum required  thickness for peripherical part</t>
  </si>
  <si>
    <t>Adopted thickness</t>
  </si>
  <si>
    <t>Maximun allowable stress for compression /Tensiones Maximas de Compresion (5.5.4)</t>
  </si>
  <si>
    <t>Maximun allowable stress for same compression in each direction/Tensiones Maximas de Compresion si son igual en las dos direcciones</t>
  </si>
  <si>
    <t>Sc</t>
  </si>
  <si>
    <t>If/Si t/R&lt;0,00667</t>
  </si>
  <si>
    <t>If/Si 0,0067&lt;t/R/0,0175</t>
  </si>
  <si>
    <t>If sit/R&gt;0,0175</t>
  </si>
  <si>
    <t>USED</t>
  </si>
  <si>
    <t>Maximun allowable stress for different compression in each direction/Tensiones Maximas de Compresion para compresion diferente según direccion</t>
  </si>
  <si>
    <t xml:space="preserve"> t/R&lt;0,00667</t>
  </si>
  <si>
    <t>0,0067&lt;t/R/0,0175</t>
  </si>
  <si>
    <t>t/R&gt;0,0175</t>
  </si>
  <si>
    <t>Maximun allowable tensile stress/Tension Maxima a traccion</t>
  </si>
  <si>
    <t>St*E=</t>
  </si>
  <si>
    <t>Maximun allowable external pressure</t>
  </si>
  <si>
    <t>MAEP=</t>
  </si>
  <si>
    <t>MAEP'=</t>
  </si>
  <si>
    <t>psi, removing plates weight</t>
  </si>
  <si>
    <t>peso chapas techo en lb</t>
  </si>
  <si>
    <t>Inner Vessel Compression Ring (Pressure Case)</t>
  </si>
  <si>
    <t>Inner Vessel Compression Ring / Anillo de Compresión del Tanque Interior (5.4.12) (Pressure Case)</t>
  </si>
  <si>
    <t>Data/Datos</t>
  </si>
  <si>
    <t>t=</t>
  </si>
  <si>
    <t>kg, Roof weight and other load on the roof / Peso del techo y otras cargas en el techo</t>
  </si>
  <si>
    <t>lb, Roof weight and other load on the roof / Peso del techo y otras cargas en el techo</t>
  </si>
  <si>
    <t>Rc</t>
  </si>
  <si>
    <t xml:space="preserve">mm, Internal Shell Radius / Radio int. del cilindro, </t>
  </si>
  <si>
    <t xml:space="preserve">in, Internal Shell Radius / Radio int. del cilindro, </t>
  </si>
  <si>
    <t>R2</t>
  </si>
  <si>
    <t>mm, Internal Roof Radius/Radio int. del techo,</t>
  </si>
  <si>
    <t>in, Internal Roof Radius/Radio int. del techo,</t>
  </si>
  <si>
    <t>mm, Shell thickness at junction/Espesor de la parte en la union</t>
  </si>
  <si>
    <t>in, Shell thickness at junction/Espesor de la parte en la union</t>
  </si>
  <si>
    <t>Wc</t>
  </si>
  <si>
    <t>mm, Width of shell thickness considered/Anchura de la virola considerada para espesor</t>
  </si>
  <si>
    <t>Wca</t>
  </si>
  <si>
    <t>in, Maximum available width of shell thickness considered/Anchura de la virola considerada para espesor</t>
  </si>
  <si>
    <t>mm,Compression Ring thickness/Espesor del Anillo de Compresion</t>
  </si>
  <si>
    <t>in,Compression Ring thickness/Espesor del Anillo de Compresion</t>
  </si>
  <si>
    <t>Wa</t>
  </si>
  <si>
    <t>mm, Whole Compression ring plate/Ancho total del anillo</t>
  </si>
  <si>
    <t>Wh  =</t>
  </si>
  <si>
    <t>in, Whole Compression ring plate/Ancho total del anillo</t>
  </si>
  <si>
    <t>Wh</t>
  </si>
  <si>
    <t>mm, Compression Ring width/Anchura del Anillo de Compresion</t>
  </si>
  <si>
    <t>Wha</t>
  </si>
  <si>
    <t>in, Compression Ring width/Anchura del Anillo de Compresion</t>
  </si>
  <si>
    <t>mm Wing / Ala</t>
  </si>
  <si>
    <t>Wa =</t>
  </si>
  <si>
    <t>in Wing / Ala</t>
  </si>
  <si>
    <t>P d</t>
  </si>
  <si>
    <t>bar Design Pressure/Presion de Diseño</t>
  </si>
  <si>
    <t>R=</t>
  </si>
  <si>
    <t>psi Design Pressure/Presion de Diseño</t>
  </si>
  <si>
    <t>P h</t>
  </si>
  <si>
    <t xml:space="preserve">bar Test Pressure/ Presion en  prueba </t>
  </si>
  <si>
    <t>L =</t>
  </si>
  <si>
    <t xml:space="preserve">psi Test Pressure/ Presion en  prueba </t>
  </si>
  <si>
    <t>Width of plates making the compresion ring</t>
  </si>
  <si>
    <t>β=</t>
  </si>
  <si>
    <t xml:space="preserve"> Zonas que forman el anillo de compresion </t>
  </si>
  <si>
    <t>Width of the participating sidewall plate/Anchura de la pared que resiste</t>
  </si>
  <si>
    <t>Width of the participating roof/Anchura del techo que resiste</t>
  </si>
  <si>
    <t>Wc =</t>
  </si>
  <si>
    <t>alpha=</t>
  </si>
  <si>
    <t>tc=</t>
  </si>
  <si>
    <t>Rc =</t>
  </si>
  <si>
    <t>Geometric calculations/Calculos Geometricos</t>
  </si>
  <si>
    <t>Ac</t>
  </si>
  <si>
    <t xml:space="preserve">Net area of vertical cross section/Area recta de seccion vertical </t>
  </si>
  <si>
    <t>Sin α</t>
  </si>
  <si>
    <t xml:space="preserve">Sin α = ( 1 - ( Rc / R2 )2 )^(1/2) </t>
  </si>
  <si>
    <t>cross-sectional area of the tank/Seccion rects del tanque</t>
  </si>
  <si>
    <t>32*t</t>
  </si>
  <si>
    <t>Cos α</t>
  </si>
  <si>
    <t>Unit Forces at Junction/Tension en la Union(API 620-5,10)</t>
  </si>
  <si>
    <t>In Service</t>
  </si>
  <si>
    <t>Hydro Test</t>
  </si>
  <si>
    <t>En servicio</t>
  </si>
  <si>
    <t>En pr. hidr.</t>
  </si>
  <si>
    <t>T1 meridional unit force in junction/Fuerza meridional en la union</t>
  </si>
  <si>
    <t>T1 (lbf/in) meridional unit force in junction/Fuerza meridional en la union</t>
  </si>
  <si>
    <t>T2 Latitudinal unit force on the roof/Fuerza longtudinal en el techo</t>
  </si>
  <si>
    <t>T2 (lbf/in) Latitudinal unit force on the roof/Fuerza longtudinal en el techo</t>
  </si>
  <si>
    <t>T2s</t>
  </si>
  <si>
    <t>T2s circumferential  unit force on the shell/Fuerza circunferencial en la pared</t>
  </si>
  <si>
    <t>T2s (lbf/in) circumferential  unit force on the shell/Fuerza circunferencial en la pared</t>
  </si>
  <si>
    <t>Inner Vessel Compression Ring (Presure Case)</t>
  </si>
  <si>
    <t>Stress and Areas for the forces at junctions</t>
  </si>
  <si>
    <t>Tension y Areas para las fuerzas en la union (5.12.4.3)</t>
  </si>
  <si>
    <t>At Service</t>
  </si>
  <si>
    <t xml:space="preserve">Q </t>
  </si>
  <si>
    <t>N,Total circunferencial Force/Fuerza circuferencial total</t>
  </si>
  <si>
    <t xml:space="preserve">n  </t>
  </si>
  <si>
    <t>N/mm2, Stress due to Q/Tension causada por Q</t>
  </si>
  <si>
    <t>psi, Stress due to Q/Tension causada por Q</t>
  </si>
  <si>
    <t>Ac min</t>
  </si>
  <si>
    <t xml:space="preserve">mm2, Net Area required/Area requerida </t>
  </si>
  <si>
    <t xml:space="preserve">in2, Net Area required/Area requerida </t>
  </si>
  <si>
    <t>Wh choose/Wh calculated / Wh escogido/Wh calculado</t>
  </si>
  <si>
    <t>Wc choose/Wc neccessary / Wc escogido/Wc necesario</t>
  </si>
  <si>
    <t>Ac working/Ac necessary / Ac trabajando/Ac necesario ( In service/En servicio)</t>
  </si>
  <si>
    <t>Ac working/Ac necessary / Ac trabajando/Ac necesario ( Hydropneumatic test/Prueba Hidroneumatica)</t>
  </si>
  <si>
    <t>L/32t, L&lt;32t</t>
  </si>
  <si>
    <t>Wh/32t, Wh&lt;32t</t>
  </si>
  <si>
    <t>Horizontal Checks (5.12.5.1)</t>
  </si>
  <si>
    <t>RC*0,015=</t>
  </si>
  <si>
    <t>WH*sin(α)</t>
  </si>
  <si>
    <t>CENTROID CHECKING</t>
  </si>
  <si>
    <t>Centroid checking</t>
  </si>
  <si>
    <t>ycomp</t>
  </si>
  <si>
    <t>ysc</t>
  </si>
  <si>
    <t>in, centroid height of the upper part of compression ring</t>
  </si>
  <si>
    <t>yshell</t>
  </si>
  <si>
    <t>yic</t>
  </si>
  <si>
    <t>in, centroid height of the bottom part of compression ring</t>
  </si>
  <si>
    <t>A comp</t>
  </si>
  <si>
    <t>ys</t>
  </si>
  <si>
    <t xml:space="preserve">in, centroid height of the participating shell </t>
  </si>
  <si>
    <t>A shell</t>
  </si>
  <si>
    <t>Asc</t>
  </si>
  <si>
    <t>in2, area of the upper part of compression ring</t>
  </si>
  <si>
    <t>Centroid Y</t>
  </si>
  <si>
    <t>Aic</t>
  </si>
  <si>
    <t>in2, area of the bottom part of compression ring</t>
  </si>
  <si>
    <t>Esp medio</t>
  </si>
  <si>
    <t>As</t>
  </si>
  <si>
    <t>in2, area of the participating shell</t>
  </si>
  <si>
    <t>ratio</t>
  </si>
  <si>
    <t>in, compression area centroid height</t>
  </si>
  <si>
    <t>1,5 * Thk,av</t>
  </si>
  <si>
    <t>in, 1,5 times average thickness of compression region</t>
  </si>
  <si>
    <t>1,5*Thk,av/Centroid Y</t>
  </si>
  <si>
    <t>Inner Vessel Compression Ring(Vacuum Case)</t>
  </si>
  <si>
    <t>Inner Vessel Compression Ring</t>
  </si>
  <si>
    <t>Inner Vessel Compression Ring (Vacuum Case)</t>
  </si>
  <si>
    <t>ç</t>
  </si>
  <si>
    <t>Inner Vessel Compression Ring / Anillo de Compresión del Tanque Interior (5.4.12) (Vacuum Case)</t>
  </si>
  <si>
    <t>in, Width of shell thickness considered/Anchura de la virola considerada para espesor</t>
  </si>
  <si>
    <t>psi, Design Pressure/Presion de Diseño</t>
  </si>
  <si>
    <t>(perlite+purge pressure+inner tank vacuum)</t>
  </si>
  <si>
    <t>16*t</t>
  </si>
  <si>
    <t>L/16t, L&lt;16t</t>
  </si>
  <si>
    <t>Inner Vessel  Anchorage</t>
  </si>
  <si>
    <t>Inner tank Anchorage / Anclajes del tanque interior(5.11.2.3)</t>
  </si>
  <si>
    <t>Data / Datos</t>
  </si>
  <si>
    <t>A</t>
  </si>
  <si>
    <t>mm2, Strap Area/Area del strap</t>
  </si>
  <si>
    <t>in2, Strap Area/Area del strap</t>
  </si>
  <si>
    <t>m2, Inner Tank area/ Area del Tanque Interior</t>
  </si>
  <si>
    <t>in2, Inner Tank area/ Area del Tanque Interior</t>
  </si>
  <si>
    <t xml:space="preserve">kg, Weight of shell and roof / Peso de la envolventes y techo </t>
  </si>
  <si>
    <t xml:space="preserve">lb, Weight of shell and roof / Peso de la envolventes y techo </t>
  </si>
  <si>
    <t>bar, Design Pressure/Presion de Diseño</t>
  </si>
  <si>
    <t>Pt</t>
  </si>
  <si>
    <t>bar, Test Pressure/Presion de prueba</t>
  </si>
  <si>
    <t>psi, Test Pressure/Presion de prueba</t>
  </si>
  <si>
    <t>Mpa, Maximun Allowable Design Stress/Tension maxima de diseño</t>
  </si>
  <si>
    <t>psi, Maximun Allowable Design Stress/Tension maxima de diseño</t>
  </si>
  <si>
    <t>N</t>
  </si>
  <si>
    <t>Number of straps/Numero de straps</t>
  </si>
  <si>
    <t>Size</t>
  </si>
  <si>
    <t>mm, size of each strap</t>
  </si>
  <si>
    <t>in, size of each strap</t>
  </si>
  <si>
    <t>Th,pad</t>
  </si>
  <si>
    <t>mm, pad thickness</t>
  </si>
  <si>
    <t>in, pad thickness</t>
  </si>
  <si>
    <t>Design Conditions / Condiciones de diseño</t>
  </si>
  <si>
    <t>F=</t>
  </si>
  <si>
    <t>N, Uplift Pressure due to internal pressure/Levantamiento debido a la presion interna</t>
  </si>
  <si>
    <t>lbf, Uplift Pressure due to internal pressure/Levantamiento debido a la presion interna</t>
  </si>
  <si>
    <t>F=At*P</t>
  </si>
  <si>
    <t>U=</t>
  </si>
  <si>
    <t>N, Net Uplift Force/Fuerza neta de Levantamiento</t>
  </si>
  <si>
    <t>lbf, Net Uplift Force/Fuerza neta de Levantamiento</t>
  </si>
  <si>
    <t>U=F-W</t>
  </si>
  <si>
    <t>T=</t>
  </si>
  <si>
    <t>N/mm2,Tension at the straps/Tension en los straps</t>
  </si>
  <si>
    <t>psi,Tension at the straps/Tension en los straps</t>
  </si>
  <si>
    <t>T=U/(N*A)</t>
  </si>
  <si>
    <t>Weld efficency = 1</t>
  </si>
  <si>
    <t>Strap-Pad Weld</t>
  </si>
  <si>
    <t>Strap-Pad Weld (W02)</t>
  </si>
  <si>
    <t>Garganta / Welding seam thk, g</t>
  </si>
  <si>
    <t>Longitud cordón / Welding seam length. L</t>
  </si>
  <si>
    <t>E ( welding effiency)</t>
  </si>
  <si>
    <t xml:space="preserve">Esfuerzo / Tension, </t>
  </si>
  <si>
    <t>Factor de Seguridad / Safety factor</t>
  </si>
  <si>
    <t>Pad-Tank Weld</t>
  </si>
  <si>
    <t>Pad-Tank Weld (W01)</t>
  </si>
  <si>
    <t>NOTE: Please to confirm embedment length at time of order</t>
  </si>
  <si>
    <t>Test Conditions/ Condiciones de Prueba</t>
  </si>
  <si>
    <t>F=At*Pt</t>
  </si>
  <si>
    <t>Hydraulic Lift</t>
  </si>
  <si>
    <t>Hr</t>
  </si>
  <si>
    <t>mm, Roof Height / Altura de techo</t>
  </si>
  <si>
    <t>in, Roof Height / Altura de techo</t>
  </si>
  <si>
    <t>Hrg</t>
  </si>
  <si>
    <t>mm, Center of action of Liquid on roof(1/3 from the top)</t>
  </si>
  <si>
    <t>in, Center of action of Liquid on roof(1/3 from the top)</t>
  </si>
  <si>
    <t>mm, Insulation heigh</t>
  </si>
  <si>
    <t>in, Insulation height</t>
  </si>
  <si>
    <t>Hv</t>
  </si>
  <si>
    <t>mm, Height of the valve over the roof</t>
  </si>
  <si>
    <t>in, Height of the valve over the roof</t>
  </si>
  <si>
    <t>Hh</t>
  </si>
  <si>
    <t>m, Overall hydraulic heigh</t>
  </si>
  <si>
    <t>in, Overall hydraulic heigh</t>
  </si>
  <si>
    <t>MAWP</t>
  </si>
  <si>
    <t>bar, Gas Pressure</t>
  </si>
  <si>
    <t>psi, Gas Pressure</t>
  </si>
  <si>
    <t xml:space="preserve">bar, Hydraulic Pressure </t>
  </si>
  <si>
    <t xml:space="preserve">psi, Hydraulic Pressure </t>
  </si>
  <si>
    <t>bar, Total Pressure</t>
  </si>
  <si>
    <t>psi, Total Pressure</t>
  </si>
  <si>
    <t xml:space="preserve">Mpa, Maximun allowable stress </t>
  </si>
  <si>
    <t xml:space="preserve">psi, Maximun allowable stress </t>
  </si>
  <si>
    <t>Strap</t>
  </si>
  <si>
    <t>U</t>
  </si>
  <si>
    <t>STRAP TO FOOT PAD WELDING</t>
  </si>
  <si>
    <t>N, force per strap</t>
  </si>
  <si>
    <t>lbf, force per strap</t>
  </si>
  <si>
    <t>Weld efficiency factor for full penetration fillet welds (table UW-12)</t>
  </si>
  <si>
    <t>Aa</t>
  </si>
  <si>
    <t>mm2, area of strap</t>
  </si>
  <si>
    <t>in2, area of strap</t>
  </si>
  <si>
    <t>Aw</t>
  </si>
  <si>
    <t>mm2, area of fillet welding</t>
  </si>
  <si>
    <t>in2, area of fillet welding</t>
  </si>
  <si>
    <t>mm2, total welding area</t>
  </si>
  <si>
    <t>in2, total welding area</t>
  </si>
  <si>
    <t>Mpa, calculated stress</t>
  </si>
  <si>
    <t>psi, calculated stress</t>
  </si>
  <si>
    <t>STRAP TO SHELL PAD WELDING</t>
  </si>
  <si>
    <t>th.w</t>
  </si>
  <si>
    <t>mm, fillet weld thickness</t>
  </si>
  <si>
    <t>in, fillet weld thickness</t>
  </si>
  <si>
    <t>L.w</t>
  </si>
  <si>
    <t>mm, fillet weld length</t>
  </si>
  <si>
    <t>in, fillet weld length</t>
  </si>
  <si>
    <t>mm2, welding area</t>
  </si>
  <si>
    <t>in2, welding area</t>
  </si>
  <si>
    <t>Weld efficiency factor for  fillet welds (table UW-12)</t>
  </si>
  <si>
    <t>Note: embedded lenght of the straps shall be defined by Linde</t>
  </si>
  <si>
    <t>Outer Tank Thickness</t>
  </si>
  <si>
    <t>Desin Data/Datos de Diseño</t>
  </si>
  <si>
    <t>Kg/m3,Perlite Density/Densidad de la perlita</t>
  </si>
  <si>
    <t>lb/ft3,Perlite Density/Densidad de la perlita</t>
  </si>
  <si>
    <t>(purge pressure+perlite)</t>
  </si>
  <si>
    <t>Maximun allowable stress for simple tension/Tensión maxima admisible</t>
  </si>
  <si>
    <t>m, Maximun Perlite Height/ Altura de Perlita maxima</t>
  </si>
  <si>
    <t>in, Maximun Perlite Height/ Altura de Perlita maxima</t>
  </si>
  <si>
    <t>Perlite Height, Hl</t>
  </si>
  <si>
    <t>Pressure in the level Pv</t>
  </si>
  <si>
    <t>Altura de Perlita,Hl</t>
  </si>
  <si>
    <t>Calculation of Forces, Tensions and minimun thickness/Calculo de fuerzas, tensisones y espesores minimos (5.10.2)</t>
  </si>
  <si>
    <t>COMPRESSIVE CHECKING</t>
  </si>
  <si>
    <t>Wsc</t>
  </si>
  <si>
    <t>kg, dead loads (roof+shell)</t>
  </si>
  <si>
    <t>Wl</t>
  </si>
  <si>
    <t>kg, live loads</t>
  </si>
  <si>
    <t>Ls&amp;l</t>
  </si>
  <si>
    <t>N/mm, Lshell+Llive,</t>
  </si>
  <si>
    <t>Lw</t>
  </si>
  <si>
    <t>N/mm, Lwind</t>
  </si>
  <si>
    <t>Scc</t>
  </si>
  <si>
    <t>(t-c)/R</t>
  </si>
  <si>
    <t>Sca</t>
  </si>
  <si>
    <t>MPa</t>
  </si>
  <si>
    <t>kg, weigh of shell, roof + accesories</t>
  </si>
  <si>
    <t>lb, weigh of shell, roof + accesories</t>
  </si>
  <si>
    <t>Nm, overturning moment due to wind</t>
  </si>
  <si>
    <t>lbf*in, overturning moment due to wind</t>
  </si>
  <si>
    <t>*** ojo hay que traer el momento de viento s/calculo viento</t>
  </si>
  <si>
    <t>Plive</t>
  </si>
  <si>
    <t>N/m2, cargas vivas</t>
  </si>
  <si>
    <t>psi, live loads</t>
  </si>
  <si>
    <t>Plive 2</t>
  </si>
  <si>
    <t>psi walkway platform on roof</t>
  </si>
  <si>
    <t>Lshell</t>
  </si>
  <si>
    <t>N/mm, line load to shell</t>
  </si>
  <si>
    <t>Lwind</t>
  </si>
  <si>
    <t>N/mm, line load due to overturning moment</t>
  </si>
  <si>
    <t>Llive</t>
  </si>
  <si>
    <t>N/mm, roof live line load</t>
  </si>
  <si>
    <t>Plive2</t>
  </si>
  <si>
    <t>Scc1</t>
  </si>
  <si>
    <t>N/mm2, compressive stress - 1</t>
  </si>
  <si>
    <t>Scc2</t>
  </si>
  <si>
    <t>N/mm2, compressive stress - 2</t>
  </si>
  <si>
    <t>Scs=1,800,000*(t/R)</t>
  </si>
  <si>
    <t>psi, allowable stresses</t>
  </si>
  <si>
    <t>N/mm2, allowable stresses</t>
  </si>
  <si>
    <t>min. thickness</t>
  </si>
  <si>
    <t>Thickness selected</t>
  </si>
  <si>
    <t>Perlite pressure</t>
  </si>
  <si>
    <t>LI (N/m)</t>
  </si>
  <si>
    <t>Pe (N/mm)</t>
  </si>
  <si>
    <t>1b)</t>
  </si>
  <si>
    <t>KN/m2</t>
  </si>
  <si>
    <t>Load Combination 2:</t>
  </si>
  <si>
    <t>2b)</t>
  </si>
  <si>
    <t>Outer Tank Stiffeners</t>
  </si>
  <si>
    <t>V</t>
  </si>
  <si>
    <t>mph</t>
  </si>
  <si>
    <t>Outer Tank Stiffeners / Rigidizadores del tanque exterior (5.10.6)</t>
  </si>
  <si>
    <t>600t</t>
  </si>
  <si>
    <t>100t</t>
  </si>
  <si>
    <t>100t/D</t>
  </si>
  <si>
    <t>cubo</t>
  </si>
  <si>
    <t>raiz</t>
  </si>
  <si>
    <t>120/V</t>
  </si>
  <si>
    <t>cuadrado</t>
  </si>
  <si>
    <t>mm, Diameter of outer vessel/Diametro del tanque exterior</t>
  </si>
  <si>
    <t>in, Diameter of outer vessel/Diametro del tanque exterior</t>
  </si>
  <si>
    <t>H1</t>
  </si>
  <si>
    <t>mm, Thickness of top sidewall course/Espesor de la virola superior</t>
  </si>
  <si>
    <t>in, Thickness of top sidewall course/Espesor de la virola superior</t>
  </si>
  <si>
    <t>Wind Girder/Rigidizadores</t>
  </si>
  <si>
    <t>Ns</t>
  </si>
  <si>
    <t>Ds</t>
  </si>
  <si>
    <t>mm,Width/Anchura</t>
  </si>
  <si>
    <t>in,Width/Anchura</t>
  </si>
  <si>
    <t>Ts</t>
  </si>
  <si>
    <t xml:space="preserve">mm,Thickness/Espesor </t>
  </si>
  <si>
    <t xml:space="preserve">in,Thickness/Espesor </t>
  </si>
  <si>
    <t>Maximum Distance between Wind Girders/Maxima Distancia entre rigidizadores</t>
  </si>
  <si>
    <t>velocidad en km/h para usar en formulas</t>
  </si>
  <si>
    <t>km/h</t>
  </si>
  <si>
    <t>Transformed Heights/Alturas Transformadas</t>
  </si>
  <si>
    <t>tactual</t>
  </si>
  <si>
    <t>Ww</t>
  </si>
  <si>
    <t>Total height</t>
  </si>
  <si>
    <t>Height Between Wind Girders/Altura entre anillos (5.10.6.2)</t>
  </si>
  <si>
    <t>Hb</t>
  </si>
  <si>
    <t>Required Dimensions/Dimensiones Requeridas (5.10.6.6)</t>
  </si>
  <si>
    <t>Hs</t>
  </si>
  <si>
    <t>Znec</t>
  </si>
  <si>
    <t>Zd</t>
  </si>
  <si>
    <t>course</t>
  </si>
  <si>
    <t>mm3</t>
  </si>
  <si>
    <t>in3</t>
  </si>
  <si>
    <t>Height of the Wind Girders / Altura de los rigidizadores de viento</t>
  </si>
  <si>
    <t>Shell Thickness at height of the  wind girder/Espesor de la envolvente a la altura del rigidizador</t>
  </si>
  <si>
    <t>Required minimun section modulus/Momento de primer orden requerido</t>
  </si>
  <si>
    <t>Width of shell included for Z calculation/Anchura de envolvente para el calculo de Z</t>
  </si>
  <si>
    <t>Section modulus design/Momento resistente adoptado</t>
  </si>
  <si>
    <t xml:space="preserve">Outer Tank  Roof </t>
  </si>
  <si>
    <t xml:space="preserve">bar, Other live Loads </t>
  </si>
  <si>
    <t>psi, Live load 50psf</t>
  </si>
  <si>
    <t xml:space="preserve">Bar, Internal pressure in the tank/Presión interior en tanque </t>
  </si>
  <si>
    <t xml:space="preserve">psi, Internal pressure in the tank/Presión interior en tanque </t>
  </si>
  <si>
    <t xml:space="preserve">Bar, External Pressure for the tank/Presión de diseño exterior </t>
  </si>
  <si>
    <t xml:space="preserve">psi, External Pressure for the tank/Presión de diseño exterior </t>
  </si>
  <si>
    <t>tr</t>
  </si>
  <si>
    <t>mm, selected roof thickness</t>
  </si>
  <si>
    <t>in, selected roof thickness</t>
  </si>
  <si>
    <t>External pressure</t>
  </si>
  <si>
    <t>W [lb]</t>
  </si>
  <si>
    <t>F (live loads) 
[psi]</t>
  </si>
  <si>
    <t>Pi [psi]</t>
  </si>
  <si>
    <t>Pext [psi]</t>
  </si>
  <si>
    <t>External Pressure</t>
  </si>
  <si>
    <t>F=live loads</t>
  </si>
  <si>
    <t>Pi=outer tank vacuum pressure</t>
  </si>
  <si>
    <t>Pext=outer tank wind + snow</t>
  </si>
  <si>
    <t>ojo con presion viento, hay que traerlo</t>
  </si>
  <si>
    <t>Min. thickness</t>
  </si>
  <si>
    <t>Espesor Minimo</t>
  </si>
  <si>
    <t>Pi=outer tank  design pressure worst case</t>
  </si>
  <si>
    <t>Test pressure</t>
  </si>
  <si>
    <t>Pi=outer tank  test pressure</t>
  </si>
  <si>
    <t>Calculation of Forces, Tensions and minimun thickness/ Calculo de fuerzas, tensisones y espesores minimos (5.10.2)</t>
  </si>
  <si>
    <t>Calculation of Forces, Tensions and minimun thickness/ Calculo de fuerzas, tensiones y espesores minimos (5.10.2)</t>
  </si>
  <si>
    <t>St long, MPa</t>
  </si>
  <si>
    <t>St circ MPa</t>
  </si>
  <si>
    <t>St long</t>
  </si>
  <si>
    <t>St circ</t>
  </si>
  <si>
    <t>External 
Pressure</t>
  </si>
  <si>
    <t>Internal 
Pressure</t>
  </si>
  <si>
    <t>Outer Vessel Roof-Shell Junction</t>
  </si>
  <si>
    <t>Outer Vessel Roof-Shell Junction /Union techo-Envolvente Tanque Exterior (5.4.12)</t>
  </si>
  <si>
    <t>in, Maximum available width of shell thickness considered</t>
  </si>
  <si>
    <t>per note 2 criteria in design data</t>
  </si>
  <si>
    <t xml:space="preserve"> Zonas que forman el anillo de compresion (5.12.4.2)</t>
  </si>
  <si>
    <t>Tension y Areas para las fuerzas en la union (5.12.4)</t>
  </si>
  <si>
    <t>L/16t, L=&lt;16t</t>
  </si>
  <si>
    <t>Outer Tank  Anchorage</t>
  </si>
  <si>
    <t>NOTA</t>
  </si>
  <si>
    <t>COMPROBAR QUE EL MOMENTO DE VIENTO WM VIENE DE LA HOJA CONSIDERADA EN CALCULO SEGÚN PAIS / CLIENTE</t>
  </si>
  <si>
    <t>OJO LA FUERZA DE LEVANTAMIENTO TECHO LLEVA UN COEFICIENTE QUE VIENE DE NORMA ESPAÑOLA</t>
  </si>
  <si>
    <t>Outer tank Anchorage / Anclajes del tanque exterior (5.11.2.3)</t>
  </si>
  <si>
    <t>chequear fuerzas de levantamiento</t>
  </si>
  <si>
    <t>corregido</t>
  </si>
  <si>
    <t>mm, Bolt Diameter/Diametro de los pernos</t>
  </si>
  <si>
    <t>in, Bolt Diameter/Diametro de los pernos</t>
  </si>
  <si>
    <t>mm, Corrosion Allowance / Corrosion permitida</t>
  </si>
  <si>
    <t>in, Corrosion Allowance / Corrosion permitida</t>
  </si>
  <si>
    <t>mm2, Bolt Area/Area de los Bolts</t>
  </si>
  <si>
    <t>in2, Bolt Area/Area de los Bolts</t>
  </si>
  <si>
    <t>m2, External Tank cross section area/ Area del Tanque Exterior</t>
  </si>
  <si>
    <t>in2, External Tank cross section area/ Area del Tanque Exterior</t>
  </si>
  <si>
    <t>kg, Wheight of shell, roof and bottom/Peso de la envolventes, techo y fondo</t>
  </si>
  <si>
    <t>lb, Wheight of shell, roof and bottom/Peso de la envolventes, techo y fondo</t>
  </si>
  <si>
    <t>Number of bolts/Numero de bolts</t>
  </si>
  <si>
    <t>Wm</t>
  </si>
  <si>
    <t>Nm, Moment due to Wind/Momento debido al viento</t>
  </si>
  <si>
    <t>lb*ft, Moment due to Wind/Momento debido al viento</t>
  </si>
  <si>
    <t>Mrw</t>
  </si>
  <si>
    <t>Nm, Moment due to seismic/Momento debido al sismo</t>
  </si>
  <si>
    <t>lb*ft, Moment due to seismic/Momento debido al sismo</t>
  </si>
  <si>
    <t>N, Uplift force due to internal pressure/Levantamiento debido a la presion interna</t>
  </si>
  <si>
    <t>lbf, Uplift force due to internal pressure/Levantamiento debido a la presion interna</t>
  </si>
  <si>
    <t>Fw</t>
  </si>
  <si>
    <t>N, Force due to Wind/Fuerza debida al viento</t>
  </si>
  <si>
    <t>lbf, Force due to Wind/Fuerza debida al viento</t>
  </si>
  <si>
    <t>Fw=M*4/(D)</t>
  </si>
  <si>
    <t>Fs</t>
  </si>
  <si>
    <t>N, Uplift due to wind over the roof/Fuerza debida al viento sobre el techo</t>
  </si>
  <si>
    <t>lbf, Uplift due to wind over the roof/Fuerza debida al viento sobre el techo</t>
  </si>
  <si>
    <t>Fs=At*Pe</t>
  </si>
  <si>
    <t>N, Net Uplift Pressure/Fuerza neta de Levantamiento</t>
  </si>
  <si>
    <t>lbf, Net Uplift Pressure/Fuerza neta de Levantamiento</t>
  </si>
  <si>
    <t>U=F+Fw+Fs-W</t>
  </si>
  <si>
    <t>Mpa,Stress at the anchor bolts/Tension en los pernos de anclaje</t>
  </si>
  <si>
    <t>psi,Stress at the anchor bolts/Tension en los pernos de anclaje</t>
  </si>
  <si>
    <t>Shell checking &amp; plate checking</t>
  </si>
  <si>
    <t>Shell  &amp; anchor bolt plate checking</t>
  </si>
  <si>
    <t>wp</t>
  </si>
  <si>
    <t>mm, min. width of anchor bolt plate</t>
  </si>
  <si>
    <t>in, min. width of anchor bolt plate</t>
  </si>
  <si>
    <t>ts</t>
  </si>
  <si>
    <t>mm, first outer shell thickness</t>
  </si>
  <si>
    <t>in, first outer shell thickness</t>
  </si>
  <si>
    <t>mm2, shell participating area</t>
  </si>
  <si>
    <t>in2, shell participating area</t>
  </si>
  <si>
    <t>MPa,Stress at anchor bolt plate area</t>
  </si>
  <si>
    <t>psi,Stress at anchor bolt plate area</t>
  </si>
  <si>
    <t>Fw=Wm*4/(D)</t>
  </si>
  <si>
    <t>Mpa,Stress at the bolts/Tension en los bolts</t>
  </si>
  <si>
    <t>psi,Stress at the bolts/Tension en los bolts</t>
  </si>
  <si>
    <t>ANCHOR BOLT CHAIR DESIGN</t>
  </si>
  <si>
    <t>kips, design Load of the bolt</t>
  </si>
  <si>
    <t>inch, distance from outside top plate to edge of the hole</t>
  </si>
  <si>
    <t>inc, top plate thickness</t>
  </si>
  <si>
    <t>inch, shell thickness</t>
  </si>
  <si>
    <t>inch, anchor bolt diameter</t>
  </si>
  <si>
    <t>R</t>
  </si>
  <si>
    <t>inch, nominal shell radius</t>
  </si>
  <si>
    <t>inch, distance between vertical plates</t>
  </si>
  <si>
    <t>inch, top plate width</t>
  </si>
  <si>
    <t>h</t>
  </si>
  <si>
    <t>inch, chair height</t>
  </si>
  <si>
    <t>Z</t>
  </si>
  <si>
    <t>reduction factor</t>
  </si>
  <si>
    <t>inch, bottom thickness</t>
  </si>
  <si>
    <t>inch, anchor bolt eccentricity</t>
  </si>
  <si>
    <t>j</t>
  </si>
  <si>
    <t>inch, vertical-plate thickness.</t>
  </si>
  <si>
    <t>k</t>
  </si>
  <si>
    <t>inch, vertica-plate width</t>
  </si>
  <si>
    <t>Ss</t>
  </si>
  <si>
    <t>Kpsi, stress on shell</t>
  </si>
  <si>
    <t>Kpsi, stress on top plate</t>
  </si>
  <si>
    <t>i min</t>
  </si>
  <si>
    <t>inch, thickness of vertical plate</t>
  </si>
  <si>
    <t>Vertical Plate chec</t>
  </si>
  <si>
    <t>&gt;1</t>
  </si>
  <si>
    <t>Wv</t>
  </si>
  <si>
    <t>kpis/inch vertical weld load</t>
  </si>
  <si>
    <t>kpis/inch horizontal weld load</t>
  </si>
  <si>
    <t>kpis/inch  weld load</t>
  </si>
  <si>
    <t>Per final design of anchor bolt chair see detail drawings</t>
  </si>
  <si>
    <t xml:space="preserve">NOTAS: </t>
  </si>
  <si>
    <t>SELECCIONAR TIPO DE CALCULO SEGÚN CLEINTE Y ZONA</t>
  </si>
  <si>
    <t>LLEVAR CORTANTES Y MOMENTOS A HOJA DE CARGAS EN EL FONDO Y HOJA ASCE CHECK</t>
  </si>
  <si>
    <t>OJO HOJA RIGIDIZADORES TANQUE EXTERNO VER QUE USA CORTANTES Y MOMENTOS DE HOJA SELECCIONADA AQUÍ</t>
  </si>
  <si>
    <t>OJO HOJA ANCLAJES TANQUE EXTERNO VER QUE USA CORTANTES Y MOMENTOS DE HOJA SELECCIONADA AQUÍ</t>
  </si>
  <si>
    <t>Wind Forces</t>
  </si>
  <si>
    <t>Wind Forces / Fuerzas debido al viento API 620</t>
  </si>
  <si>
    <t xml:space="preserve">Wind Forces / Fuerzas debido al viento API 620 </t>
  </si>
  <si>
    <t xml:space="preserve"> Wind actions calculation (UNE 1991-1-4) / Cálculo de la acción del viento </t>
  </si>
  <si>
    <t xml:space="preserve">Snow Load(UNE 1991-1-3) / Carga Nivea </t>
  </si>
  <si>
    <t>DATA/DATOS:</t>
  </si>
  <si>
    <t>Required data / Datos necesarios:</t>
  </si>
  <si>
    <t>Sk</t>
  </si>
  <si>
    <t>Characteristic Snow Load on the ground/ Carga de Nieve carateristica</t>
  </si>
  <si>
    <t xml:space="preserve">m,External tank internal diamenter/Diámetro interior del tanque ext., </t>
  </si>
  <si>
    <t xml:space="preserve">in,External tank internal diamenter/Diámetro interior del tanque ext., </t>
  </si>
  <si>
    <t>Properties</t>
  </si>
  <si>
    <t>Value</t>
  </si>
  <si>
    <t xml:space="preserve"> t</t>
  </si>
  <si>
    <t>mm, Shell Thickness/Espesor de la envolvente</t>
  </si>
  <si>
    <t>in, Shell Thickness/Espesor de la envolvente</t>
  </si>
  <si>
    <t>mean air desity / densidad media del aire</t>
  </si>
  <si>
    <t>Ce</t>
  </si>
  <si>
    <t>Exposure coeficiente /Coeficiente de Exposición</t>
  </si>
  <si>
    <t>m, Roof Radius/Radio del techo</t>
  </si>
  <si>
    <t>in, Roof Radius/Radio del techo</t>
  </si>
  <si>
    <t>Tank heigh /  altura depósito</t>
  </si>
  <si>
    <t>Ct</t>
  </si>
  <si>
    <t>Thermal Coeficient / Coeficiente Termico</t>
  </si>
  <si>
    <t>Hg</t>
  </si>
  <si>
    <t>m, height from grade</t>
  </si>
  <si>
    <t>in, shell height</t>
  </si>
  <si>
    <t xml:space="preserve">wind speed /  velocidad viento: </t>
  </si>
  <si>
    <t>m/s</t>
  </si>
  <si>
    <t>Snow Load Exposure Coeficient/Coeficiente de Exposicion a la Nieve</t>
  </si>
  <si>
    <t>m, shell height</t>
  </si>
  <si>
    <t>in, roof height</t>
  </si>
  <si>
    <t>Diameter /  diámetro</t>
  </si>
  <si>
    <t>m, roof height</t>
  </si>
  <si>
    <t>in, total tank height</t>
  </si>
  <si>
    <t>Air viscosity / viscosidad aire</t>
  </si>
  <si>
    <t>m2/s</t>
  </si>
  <si>
    <t>Snow Load</t>
  </si>
  <si>
    <t>Ht</t>
  </si>
  <si>
    <t>m, total tank height</t>
  </si>
  <si>
    <t>in, Total tank height/Altura total del tanque</t>
  </si>
  <si>
    <t>m, Total height of tank/Altura total del tanque</t>
  </si>
  <si>
    <t xml:space="preserve">in, Total height of tank/Altura total del tanque </t>
  </si>
  <si>
    <t>Peak velocity pressure /Pico de presión por viento(4.5)</t>
  </si>
  <si>
    <t xml:space="preserve"> v</t>
  </si>
  <si>
    <t>m/s, Wind speed/Velocidad del viento,</t>
  </si>
  <si>
    <t>mph, Wind speed/Velocidad del viento,</t>
  </si>
  <si>
    <t>m2, Front Area of the Tank/Area frontal del Tanque A=D*Ht</t>
  </si>
  <si>
    <t>in2,  Front Area of the Tank/Area frontal del Tanque A=D*Ht</t>
  </si>
  <si>
    <t>CALCULATIONS:</t>
  </si>
  <si>
    <t>Ce(z)</t>
  </si>
  <si>
    <t>Terrain Type II, Average height 10 meters</t>
  </si>
  <si>
    <t>qb</t>
  </si>
  <si>
    <t>qp(z)</t>
  </si>
  <si>
    <t>Maximun Pressure on Shell/ Maxima presión en la envolvente</t>
  </si>
  <si>
    <t>kN/m2</t>
  </si>
  <si>
    <t>Maximun Pressure on Shell/ Maxima presión en la envolvente. See API 620 5.4.1</t>
  </si>
  <si>
    <t>lbf/ft2</t>
  </si>
  <si>
    <t>Where / Donde :</t>
  </si>
  <si>
    <t>Maximun pressure on Roof / Maxima presión en el techo</t>
  </si>
  <si>
    <t>Maximun pressure on Roof / Maxima presión en el techo. See API 620 5.4.1</t>
  </si>
  <si>
    <t>qp(z) is the peak velocity pressure /pico de presión por viento</t>
  </si>
  <si>
    <t>Equation 4.8</t>
  </si>
  <si>
    <t>Ce(z) is the exposure factor / factor de exposición</t>
  </si>
  <si>
    <t>Figure 4.2</t>
  </si>
  <si>
    <t>Average Pressure on shell / Presión media en la envolvente</t>
  </si>
  <si>
    <t>Average Pressure on shell / Presión media en la envolvente. See API 620 5.4.1</t>
  </si>
  <si>
    <t>qb: is the basic velocity pressure / presión basica por velocidad</t>
  </si>
  <si>
    <t>Equation 4.10</t>
  </si>
  <si>
    <t>Average Pressure on roof / Presión media en el techo</t>
  </si>
  <si>
    <t>Average Pressure on roof / Presión media en el techo. See API 620 5.4.1</t>
  </si>
  <si>
    <t>The wind force calculation / calculo de la fuerza del viento(5.3)</t>
  </si>
  <si>
    <t>Shear Force due to Shell Presure / Fuerza cortante debida a la presión del viento</t>
  </si>
  <si>
    <t>KN</t>
  </si>
  <si>
    <t>lbf</t>
  </si>
  <si>
    <t>CsCd</t>
  </si>
  <si>
    <t>Appedix D</t>
  </si>
  <si>
    <t>factor for different types of structures / Factor según estructura</t>
  </si>
  <si>
    <t>Re</t>
  </si>
  <si>
    <t>Equation 7.15</t>
  </si>
  <si>
    <t>Reynolds number / Número de Reynolds</t>
  </si>
  <si>
    <t>Moment due to Shell Presure / Momento debido a la presión del viento</t>
  </si>
  <si>
    <t>KNm</t>
  </si>
  <si>
    <t>lbf*ft</t>
  </si>
  <si>
    <t>Cf,0</t>
  </si>
  <si>
    <t>Figure 7.28</t>
  </si>
  <si>
    <t>Slenderness</t>
  </si>
  <si>
    <t>heigh - width relation / Relación alto - ancho</t>
  </si>
  <si>
    <t>See 7.13</t>
  </si>
  <si>
    <t>end-effect factor / factor de terminación</t>
  </si>
  <si>
    <t xml:space="preserve">Cf </t>
  </si>
  <si>
    <t>See 7.9.2</t>
  </si>
  <si>
    <t>force coefficient / coeficiente de fuerza</t>
  </si>
  <si>
    <t>Aref</t>
  </si>
  <si>
    <t>Reference area / Area de referencia</t>
  </si>
  <si>
    <t>See 5.3</t>
  </si>
  <si>
    <t>Wind force / fuerza del viento</t>
  </si>
  <si>
    <t>Moment due to Wind/Momento debido la viento</t>
  </si>
  <si>
    <t>*As API is more retrictive we will use API calculations as reference</t>
  </si>
  <si>
    <t>Where/Donde :</t>
  </si>
  <si>
    <t>is the factor for different types of structures/</t>
  </si>
  <si>
    <t>Donde:</t>
  </si>
  <si>
    <t xml:space="preserve">Wind Forces according to Spanish Technical building code / Acciones Viento según Reglamento tecnico de la edificación </t>
  </si>
  <si>
    <t>Cf</t>
  </si>
  <si>
    <t>is the force coefficient /coeficiente de forma</t>
  </si>
  <si>
    <t xml:space="preserve">Aref </t>
  </si>
  <si>
    <t>is the reference area / es el área de referencia</t>
  </si>
  <si>
    <t>in, Total height of tank/Altura total del tanque</t>
  </si>
  <si>
    <t>m2, Front Area of the Tank/Area frontal del Tanque A=D*H</t>
  </si>
  <si>
    <t>in2, Front Area of the Tank/Area frontal del Tanque A=D*H</t>
  </si>
  <si>
    <t>Dynamic wind pressure / Presion dinamica del viento</t>
  </si>
  <si>
    <t>ce</t>
  </si>
  <si>
    <t>Exposure Coefficient / Coeficiente de exposicion, tabla 3.4,</t>
  </si>
  <si>
    <t>cp-c</t>
  </si>
  <si>
    <t>Wind Coeficient Sferic roof (Mos unfavourable) / Coeficiente eolico, cubierta esferica, tabla D-11</t>
  </si>
  <si>
    <t>cp-f</t>
  </si>
  <si>
    <t>Wind Coeficient, front / Coeficiente eolico, frontal fig D-3, tabla D-3</t>
  </si>
  <si>
    <t>cp-t</t>
  </si>
  <si>
    <t>Wind Coeficien,t back / Coeficiente eolico, trasero, tabla D-3</t>
  </si>
  <si>
    <t>qe-t</t>
  </si>
  <si>
    <t>KN/m2, Pressure over the roof / Presión sobre el techo</t>
  </si>
  <si>
    <t>qe-f</t>
  </si>
  <si>
    <t>kN/m2, Pressure over the front of the shell / Presion contra el frontal de la envolvente</t>
  </si>
  <si>
    <t>kN/m2, Pressure over the back of the shell / Presion contra la parte trasera de la envolvente</t>
  </si>
  <si>
    <t>Ff</t>
  </si>
  <si>
    <t xml:space="preserve">kN, Total force over the front of the shell / Fuerza total sobre el frontal de la envolvente </t>
  </si>
  <si>
    <t>Ft</t>
  </si>
  <si>
    <t xml:space="preserve">kN, Total force over the back of the shell / Fuerza total sobre la trasera de la envolvente </t>
  </si>
  <si>
    <t>Mf</t>
  </si>
  <si>
    <t>kNm, Moment due to Ff / Momento debdio a Ff</t>
  </si>
  <si>
    <t>Mt</t>
  </si>
  <si>
    <t>kNm, Moment due to Ft / Momento debdio a Ft</t>
  </si>
  <si>
    <t>kNm, Total Moment / Momento total</t>
  </si>
  <si>
    <t>usar esta si altura &gt; 80 ft (24m)</t>
  </si>
  <si>
    <t>Wind Forces / Fuerzas debido al viento API 620 - ASCE 7-10</t>
  </si>
  <si>
    <t xml:space="preserve">m, Height from grade </t>
  </si>
  <si>
    <t xml:space="preserve">ft, Height from grade </t>
  </si>
  <si>
    <t>m, Tank shell height</t>
  </si>
  <si>
    <t>ft, Tank shell height</t>
  </si>
  <si>
    <t>m, Roof height</t>
  </si>
  <si>
    <t>ft, Roof height</t>
  </si>
  <si>
    <t>m, Total height of tank including grade/Altura total del tanque incluida base</t>
  </si>
  <si>
    <t>ft, Total height of tank including grade/Altura total del tanque incluida base</t>
  </si>
  <si>
    <t>m2, Front Area of the Tank/Area frontal del Tanque A=D*Hs</t>
  </si>
  <si>
    <t>in2, Front Area of the Tank/Area frontal del Tanque A=D*Hs</t>
  </si>
  <si>
    <t>Ar</t>
  </si>
  <si>
    <t>m2, Front Area of the roof/Area frontal del techo A=D*Hr</t>
  </si>
  <si>
    <t>in2, Front Area of the roof/Area frontal del techo A=D*Hr</t>
  </si>
  <si>
    <t>ASCE 7-10, Risk Category III, Exposure C</t>
  </si>
  <si>
    <t>Kz</t>
  </si>
  <si>
    <t>velocity pressure exposure coefficient defined 29,3,1</t>
  </si>
  <si>
    <t>Kzt</t>
  </si>
  <si>
    <t>topographic factor defined in 26,8,2</t>
  </si>
  <si>
    <t>Kd</t>
  </si>
  <si>
    <t>wind direcionality factor defined in 26,6</t>
  </si>
  <si>
    <t>qz</t>
  </si>
  <si>
    <t>N/m2; velocity pressure</t>
  </si>
  <si>
    <t>lb/ft2; velocity pressure</t>
  </si>
  <si>
    <t xml:space="preserve">G </t>
  </si>
  <si>
    <t>gust-effect factor from 26,9</t>
  </si>
  <si>
    <t>D*√qz</t>
  </si>
  <si>
    <t>force coefficients from 29,5-1 @ 3</t>
  </si>
  <si>
    <t>Ps</t>
  </si>
  <si>
    <t>N/m2, max pressure on shell</t>
  </si>
  <si>
    <t>lb/ft2, max pressure on shell</t>
  </si>
  <si>
    <t>Pr</t>
  </si>
  <si>
    <t>N/m2, max pressure on roof</t>
  </si>
  <si>
    <t>lb/ft2, max pressure on roof</t>
  </si>
  <si>
    <t>Shear Force due to Shell Presure / Fuerza cortante debida a la presión del viento en envolvente</t>
  </si>
  <si>
    <t>kN</t>
  </si>
  <si>
    <t>Shear Force due to Roof Presure / Fuerza cortante debida a la presión del viento en techo</t>
  </si>
  <si>
    <t>Total shear force</t>
  </si>
  <si>
    <t>Moment due to Shell Presure / Momento debido a la presión del viento en envolvente</t>
  </si>
  <si>
    <t>kNm</t>
  </si>
  <si>
    <t>Moment due to Roof Presure / Momento debido a la presión del viento en techo</t>
  </si>
  <si>
    <t>Total moment on base slab</t>
  </si>
  <si>
    <t>Unanchored tanks shall satisfay all the following uplift criteria per API 650 5.11.2.2</t>
  </si>
  <si>
    <t>1)</t>
  </si>
  <si>
    <t>0,6 *Mw+Mpi&lt;Mdl/1,5 + Mdlr</t>
  </si>
  <si>
    <t>2)</t>
  </si>
  <si>
    <t>Mw+0,4*Mpi&lt;(Mdl+Mf)/2 + Mdlr</t>
  </si>
  <si>
    <t>3)</t>
  </si>
  <si>
    <t>Mws+0,4*Mpi&lt;Mdl/1,5 + Mdlr</t>
  </si>
  <si>
    <t>where:</t>
  </si>
  <si>
    <t>Mw</t>
  </si>
  <si>
    <t>Mpi</t>
  </si>
  <si>
    <t>Mdl</t>
  </si>
  <si>
    <t>Mdlr</t>
  </si>
  <si>
    <t>Mws</t>
  </si>
  <si>
    <t>tank considered as empty</t>
  </si>
  <si>
    <t>0,6*Mw +Mpi</t>
  </si>
  <si>
    <t>Mdl/1,5 + Mdlr</t>
  </si>
  <si>
    <t>Mw+0,4Mpi</t>
  </si>
  <si>
    <t>(Mdl+Mf)/2 + Mdlr</t>
  </si>
  <si>
    <t>Mws+0,4*Mpi</t>
  </si>
  <si>
    <t>Inner Tank Seismic Design</t>
  </si>
  <si>
    <t>Earthquake Design Data /Datos de diseño sismico</t>
  </si>
  <si>
    <t>Earthquake Design Data CASE OLE /Datos de diseño sismico CASO OLE</t>
  </si>
  <si>
    <t>Av</t>
  </si>
  <si>
    <t>%g,Vertical Earthquake coefficient/Coeficiente sismico vertical</t>
  </si>
  <si>
    <t>Sp</t>
  </si>
  <si>
    <t>%g, Peak ground acceleration/Aceleracion maxima</t>
  </si>
  <si>
    <t>TL</t>
  </si>
  <si>
    <t>Regional dependent transition period for longer period ground motion/ Periodo transitorio para movimientos sismicos de periodo largo</t>
  </si>
  <si>
    <t>aceleraciones: lo trae de la hoja condiciones de diseño</t>
  </si>
  <si>
    <t>Sds</t>
  </si>
  <si>
    <t>%g, Spectral response acceleration parameter at short periods/Parametro de aceleracion en periodos cortos. 5% DAMPED</t>
  </si>
  <si>
    <t>%g, Spectral response acceleration parameter at short periods/Parametro de aceleracion en periodos cortos</t>
  </si>
  <si>
    <t>Sd1</t>
  </si>
  <si>
    <t>%g, Spectral response acceleration parameter at period of 1 s/Parametro de aceleracion a periodos de 1s 0,5% DAMPED</t>
  </si>
  <si>
    <t>%g, Spectral response acceleration parameter at period of 1 s/Parametro de aceleracion a periodos de 1s</t>
  </si>
  <si>
    <t>S1</t>
  </si>
  <si>
    <t>Fa</t>
  </si>
  <si>
    <t>Soil amplification factor. See E-1 Api 650/Factor de Suelo</t>
  </si>
  <si>
    <t xml:space="preserve">site clase D </t>
  </si>
  <si>
    <t>Importance factor, Table E-5 Api 650/Factor de Importancia</t>
  </si>
  <si>
    <t>Rwi</t>
  </si>
  <si>
    <t>Force reduction factor for implusive methods Table E-4 Api 650/ Factor de reduccion por metodos de impulso</t>
  </si>
  <si>
    <t>Force reduction factor for implusive methods Table L-Q1 of API 620 Factor de reduccion por metodos de impulso</t>
  </si>
  <si>
    <t>Rwc</t>
  </si>
  <si>
    <t>Force reduction factor for convective methods Table E-4 Api 650/ Factor de reduccion para metodos convectivos</t>
  </si>
  <si>
    <t>Fv</t>
  </si>
  <si>
    <t>Soil amplification factor/Factor Amplificador de Suelo See E-2 Api 650</t>
  </si>
  <si>
    <t>Q</t>
  </si>
  <si>
    <t>Scaling factor/Factor de escala</t>
  </si>
  <si>
    <t>Tank Design Data / Datos de diseño del tanque</t>
  </si>
  <si>
    <t>Xs</t>
  </si>
  <si>
    <t>m, Height of the center of gravity of the shell/ C.d.G de la envolvente</t>
  </si>
  <si>
    <t>in, Height of the center of gravity of the shell/ C.d.G de la envolvente</t>
  </si>
  <si>
    <t>Xr</t>
  </si>
  <si>
    <t>m, Height of the center of gravity of the roof/ C.d.G del Techo</t>
  </si>
  <si>
    <t>in, Height of the center of gravity of the roof/ C.d.G del Techo</t>
  </si>
  <si>
    <t>Fy</t>
  </si>
  <si>
    <t>Mpa, Minimum specified yield strength of bottom annulus/Resistencia minima de rotura del anillo inferior</t>
  </si>
  <si>
    <t>ta</t>
  </si>
  <si>
    <t>mm, thickness of the bottom annulus under the shell required to provide the resisting force for self anchorage/Espesor minimo requerido para resistir las fuerzas en caso de ser estable</t>
  </si>
  <si>
    <t>in, thickness of the bottom annulus under the shell required to provide the resisting force for self anchorage/Espesor minimo requerido para resistir las fuerzas en caso de ser estable</t>
  </si>
  <si>
    <t>wint</t>
  </si>
  <si>
    <t>N/m, calculated design uplift due to product pressure per unit circumferenctial length/ Fuerza de levantamiento calculada debido a la presion del producto</t>
  </si>
  <si>
    <t>wrs</t>
  </si>
  <si>
    <t>N/m, roof load acting on the shell including 10% of specific snow load/ Cargas del techo actuando en la envolvente incluido el 10% de la carga de nieve</t>
  </si>
  <si>
    <t>mm, thickness of the bottom shell/Espesor de la primera virola</t>
  </si>
  <si>
    <t>in, thickness of the bottom shell/Espesor de la primera virola</t>
  </si>
  <si>
    <t>G</t>
  </si>
  <si>
    <t>Specific gravity/ Gravedad especifica</t>
  </si>
  <si>
    <t>N, Total weight of  tank shell and appurtenances/Peso total de la envolvente y accesorios</t>
  </si>
  <si>
    <t>lbf, Total weight of  tank shell and appurtenances/Peso total de la envolvente y accesorios</t>
  </si>
  <si>
    <t>Wr</t>
  </si>
  <si>
    <t>N, Total weight of the roof plus 10% snow load/Peso total del techo mas 10% de la carga de nieve</t>
  </si>
  <si>
    <t>lbf, Total weight of the roof plus 10% snow load/Peso total del techo mas 10% de la carga de nieve</t>
  </si>
  <si>
    <t>no suma nieve….corregir</t>
  </si>
  <si>
    <t>Wf</t>
  </si>
  <si>
    <t>N, Weight of the tank bottom/Peso del fondo del tanque</t>
  </si>
  <si>
    <t>lbf, Weight of the tank bottom/Peso del fondo del tanque</t>
  </si>
  <si>
    <t>N, Total weight of the tank content/Peso del contenido del tanque</t>
  </si>
  <si>
    <t>lbf, Total weight of the tank content/Peso del contenido del tanque</t>
  </si>
  <si>
    <t>m, Diameter of the shell/Diametro del tanque</t>
  </si>
  <si>
    <t>in, Diameter of the shell/Diametro del tanque</t>
  </si>
  <si>
    <t>m, Height of the shell/Altura de la envolvente</t>
  </si>
  <si>
    <t>in, Height of the shell/Altura de la envolvente</t>
  </si>
  <si>
    <t>Wns</t>
  </si>
  <si>
    <t>N, Weight of insulation of the shell/Peso del aislamiento de la interpared</t>
  </si>
  <si>
    <t>lbf, Weight of insulation of the shell/Peso del aislamiento de la interpared</t>
  </si>
  <si>
    <t>Wnr</t>
  </si>
  <si>
    <t>N, Weight of insulation of the roof/Peso del aislamiento del techo</t>
  </si>
  <si>
    <t>lbf, Weight of insulation of the roof/Peso del aislamiento del techo</t>
  </si>
  <si>
    <t>Ge</t>
  </si>
  <si>
    <t>Effective specific gravity including vertical seismic effects/ Peso especifico effectivo incluyendo los efectos verticales de terremoto</t>
  </si>
  <si>
    <t>wt</t>
  </si>
  <si>
    <t>N/m, Tank and roof weight acting at the base of the shell/ Peso de la envolvente y el techo actuando en la base de la envolvente</t>
  </si>
  <si>
    <t>Friction between tank and base/Factor de friccion entre el tanque y la base</t>
  </si>
  <si>
    <t>Earthquake Calculated parameters / Parametros calculados sismicos</t>
  </si>
  <si>
    <t>Ai</t>
  </si>
  <si>
    <t>g, Impulsive design response spectrum/Espectro de respuesta impulsiva</t>
  </si>
  <si>
    <t>%g, Impulsive design response spectrum/Espectro de respuesta impulsiva</t>
  </si>
  <si>
    <t>g, Convective design spectrum/Espectro de diseño convectivo</t>
  </si>
  <si>
    <t>%g, Convective design spectrum/Espectro de diseño convectivo</t>
  </si>
  <si>
    <t>Af</t>
  </si>
  <si>
    <t xml:space="preserve">%g, Acceleration coefficient for sloshing wave/Coeficiente de aceletacion para la ola </t>
  </si>
  <si>
    <t>Coefficient to adjust spectral acceleration/ Coeficiente para ajustar el espectro de aceleracion</t>
  </si>
  <si>
    <t>%g, Spectral response acceleration parameter at one second/ Parametro de respuesta espectral a 1s</t>
  </si>
  <si>
    <t>Tc</t>
  </si>
  <si>
    <t>s, Natural period of convective mode of behavior  of the liquid/ Periodo natural del comportamiento convectivo del liquido</t>
  </si>
  <si>
    <t>Ks</t>
  </si>
  <si>
    <t>Lateral shear force  / Fuerzas tangenciales</t>
  </si>
  <si>
    <t>Wi</t>
  </si>
  <si>
    <t>N, Effective implusive portion of the liquid weight/ Fraccion de liquido para fuerzas impulsivas (D/H&lt;1,33)</t>
  </si>
  <si>
    <t>lbf, Effective implusive portion of the liquid weight/ Fraccion de liquido para fuerzas impulsivas (D/H&lt;1,33)</t>
  </si>
  <si>
    <t>N, Effective convective portion of liquid weight/ Fraccion de liquido efectivo para conveccion</t>
  </si>
  <si>
    <t>lbf, Effective convective portion of liquid weight/ Fraccion de liquido efectivo para conveccion</t>
  </si>
  <si>
    <t>N, Total design base shear/ Cortante total para diseño</t>
  </si>
  <si>
    <t>lbf, Total design base shear/ Cortante total para diseño</t>
  </si>
  <si>
    <t>Vi</t>
  </si>
  <si>
    <t>N, Design base shear due to impulsive component/ Fuerza cortante debida a componente impulsivo</t>
  </si>
  <si>
    <t>lbf, Design base shear due to impulsive component/ Fuerza cortante debida a componente impulsivo</t>
  </si>
  <si>
    <t>Vc</t>
  </si>
  <si>
    <t>N, Design base shear due to convective component/ Fuerza cortante debida a componente convectivo</t>
  </si>
  <si>
    <t>lbf, Design base shear due to convective component/ Fuerza cortante debida a componente convectivo</t>
  </si>
  <si>
    <t>Vmax</t>
  </si>
  <si>
    <t>N/m Maximum shear force at bottom of shell/ Maxima fuerza tangencial en la base de la envolvente</t>
  </si>
  <si>
    <t>Vs</t>
  </si>
  <si>
    <t>N, Friction resisiting sliding/ Friccion contraria al deslizamiento</t>
  </si>
  <si>
    <t>lbf, Friction resisiting sliding/ Friccion contraria al deslizamiento</t>
  </si>
  <si>
    <t>Vs/Vmax</t>
  </si>
  <si>
    <t>Tvmax</t>
  </si>
  <si>
    <t>Mpa, Maximum Tangencial Stress / Tensión máxima tangencial</t>
  </si>
  <si>
    <t>psi, Maximum Tangencial Stress / Tensión máxima tangencial</t>
  </si>
  <si>
    <t>Overtuning Moments / Momentos de Vuelco</t>
  </si>
  <si>
    <t>D/H</t>
  </si>
  <si>
    <t>Xi</t>
  </si>
  <si>
    <t>m, Height from the bottom of the tank shell to the center of action of the lateral seismic force related to the impulsive liquid force for ring wall moment/ Altura del C.d.G relacionado con las fuerzas impulsivas para el momento de la pared</t>
  </si>
  <si>
    <t>in, Height from the bottom of the tank shell to the center of action of the lateral seismic force related to the impulsive liquid force for ring wall moment/ Altura del C.d.G relacionado con las fuerzas impulsivas para el momento de la pared</t>
  </si>
  <si>
    <t>Xis</t>
  </si>
  <si>
    <t>m, Height from the bottom of the tank shell to the center of action of the lateral seismic force related to the impulsive liquid force for slab moment/ Altura del C.d.G relacionado con las fuerzas impulsivas para el momento en la losa</t>
  </si>
  <si>
    <t>in, Height from the bottom of the tank shell to the center of action of the lateral seismic force related to the impulsive liquid force for slab moment/ Altura del C.d.G relacionado con las fuerzas impulsivas para el momento en la losa.See E.6.1.2.2-2</t>
  </si>
  <si>
    <t>Xc</t>
  </si>
  <si>
    <t>m, Height from the bottom of the tank shell to the center of action of the lateral seismic force related to the convective liquid force for ring wall moment/Altura del C.d.G relacionado con las fuerzas convectivas para el momento en la pared</t>
  </si>
  <si>
    <t>in, Height from the bottom of the tank shell to the center of action of the lateral seismic force related to the convective liquid force for ring wall moment/Altura del C.d.G relacionado con las fuerzas convectivas para el momento en la pared</t>
  </si>
  <si>
    <t>Xcs</t>
  </si>
  <si>
    <t>m, Height from the bottom of the tank shell to the center of action of the lateral seismic force related to the convective liquid force for slab moment/ Altura del C.d.G relacionado con las fuerzas convectivas para el momento en la losa</t>
  </si>
  <si>
    <t>in, Height from the bottom of the tank shell to the center of action of the lateral seismic force related to the convective liquid force for slab moment/ Altura del C.d.G relacionado con las fuerzas convectivas para el momento en la losa</t>
  </si>
  <si>
    <t>Note: Xns is considered as H/2 and Xnr as the roof center of mass Xr.</t>
  </si>
  <si>
    <t>Nm, Ring Wall moment/ Momento en el anillo</t>
  </si>
  <si>
    <t>lb-ft, Ring Wall moment/ Momento en el anillo</t>
  </si>
  <si>
    <t>Ms</t>
  </si>
  <si>
    <t>Nm, Slab Moment/Momento en la losa</t>
  </si>
  <si>
    <t>lb-ft, Slab Moment/Momento en la losa</t>
  </si>
  <si>
    <t>Proporcion</t>
  </si>
  <si>
    <t>Compression Forces/Fuerzas de compresión</t>
  </si>
  <si>
    <t>Ayudas Calculo</t>
  </si>
  <si>
    <t>σc</t>
  </si>
  <si>
    <t>t(presion)</t>
  </si>
  <si>
    <t>t(terremoto)</t>
  </si>
  <si>
    <t>N/mm2 Maximum longitudinal shell compression stress at the botom of the shell(J&lt;0.785), Slab peak/ Maxima compresión de la envolvente en el fondo de la envolvente, Pico en la losa</t>
  </si>
  <si>
    <t>psi Maximum longitudinal shell compression stress at the botom of the shell(J&lt;0.785), Slab peak/ Maxima compresión de la envolvente en el fondo de la envolvente, Pico en la losa</t>
  </si>
  <si>
    <t>Fc</t>
  </si>
  <si>
    <t>N/mm2, Seismic allowable compression stress/ Tension perimitida para terremoto</t>
  </si>
  <si>
    <t>psi, Seismic allowable compression stress/ Tension perimitida para terremoto</t>
  </si>
  <si>
    <t>GHD^2/t^2</t>
  </si>
  <si>
    <t>Checking</t>
  </si>
  <si>
    <t>Anchoraje Forces</t>
  </si>
  <si>
    <t>Anchoraje Forces (API 650 E.6.2.1.2)</t>
  </si>
  <si>
    <t>wab</t>
  </si>
  <si>
    <t>N/m Forces to resit uplifting/ Fuerza resistente al levantmaiento</t>
  </si>
  <si>
    <t>Pfp</t>
  </si>
  <si>
    <t>Pab</t>
  </si>
  <si>
    <t>N, Maximum force per strap / Fuerza maxima por strap</t>
  </si>
  <si>
    <t>lbf, Maximum force per strap / Fuerza maxima por strap</t>
  </si>
  <si>
    <t>Tension</t>
  </si>
  <si>
    <t>N/mm2 Maximum stress in strap/ Tensión maxima en strap</t>
  </si>
  <si>
    <t>psi Maximum stress in strap/ Tensión maxima en strap (Pab+0,7 times pressure case)</t>
  </si>
  <si>
    <t>N/m, Longitudinal Shell comrpession. Pressure for the slab/ Comrpesion Longitudinal de la envolvente. Presion a la losa</t>
  </si>
  <si>
    <t>Allowable Tension, 80% yield stress</t>
  </si>
  <si>
    <t>psi, Allowable Tension, 80% yield stress</t>
  </si>
  <si>
    <t>N/mm2 Presión Maxima en foamglass</t>
  </si>
  <si>
    <t>Forces due to liquid movement/ Fuerzas debido al movimiento del liquido</t>
  </si>
  <si>
    <t>Ni</t>
  </si>
  <si>
    <t>Nc</t>
  </si>
  <si>
    <t>Nh</t>
  </si>
  <si>
    <t>Y</t>
  </si>
  <si>
    <t>σt</t>
  </si>
  <si>
    <t>Check</t>
  </si>
  <si>
    <t>Impulsive hoop tensile strength</t>
  </si>
  <si>
    <t>Convective hoop tensile strength</t>
  </si>
  <si>
    <t>Product hydrostatic membrane force</t>
  </si>
  <si>
    <t>Distance from liquid surface</t>
  </si>
  <si>
    <t xml:space="preserve">Thickness of the shell </t>
  </si>
  <si>
    <t>Total tensile stress</t>
  </si>
  <si>
    <t>Tensión por fuerzas impulsiva</t>
  </si>
  <si>
    <t>Tensión por fuerzas convectivas</t>
  </si>
  <si>
    <t>Presion por producto</t>
  </si>
  <si>
    <t>Distancia a la superficie del liquido</t>
  </si>
  <si>
    <t>Espesor de la envolvente</t>
  </si>
  <si>
    <t>Tension Maxima</t>
  </si>
  <si>
    <t>Free board for sloshing wave</t>
  </si>
  <si>
    <t>δs</t>
  </si>
  <si>
    <t xml:space="preserve">m, Maximun sloshing wave height/ Altura maxima de la ola. </t>
  </si>
  <si>
    <t xml:space="preserve">in, Maximun sloshing wave height/ Altura maxima de la ola. </t>
  </si>
  <si>
    <t>δs req</t>
  </si>
  <si>
    <t>m, Free board required./ Altura libre requerida See E-7 Api 650 table.</t>
  </si>
  <si>
    <t>in, Free board required./ Altura libre requerida See E-7 Api 650 table.</t>
  </si>
  <si>
    <t>δs design</t>
  </si>
  <si>
    <t>Free boards Adopted</t>
  </si>
  <si>
    <t>in Free boards Adopted</t>
  </si>
  <si>
    <t>If SUG=I, this criteria does not apply</t>
  </si>
  <si>
    <t>A1</t>
  </si>
  <si>
    <t>A2</t>
  </si>
  <si>
    <t>ph</t>
  </si>
  <si>
    <t>N/m A2*ph</t>
  </si>
  <si>
    <t>T</t>
  </si>
  <si>
    <t>N/mm</t>
  </si>
  <si>
    <t xml:space="preserve">Concrete Ring &amp; Insulation Compressive Strenght </t>
  </si>
  <si>
    <t>Concrete Ring &amp; Insulation Compressive strength</t>
  </si>
  <si>
    <t>e max</t>
  </si>
  <si>
    <t>Concrete and Celullar glass only work unde rcompresion so we applied formulas of short prism under compresion only with eccentrity</t>
  </si>
  <si>
    <t>Concrete and Celullar glass only work under compresion so we applied formulas of short prism under compresion only with eccentrity</t>
  </si>
  <si>
    <t>tmax</t>
  </si>
  <si>
    <t>mm, see Sketch</t>
  </si>
  <si>
    <t>in, see Sketch</t>
  </si>
  <si>
    <t>mm, Concrete ring thickness</t>
  </si>
  <si>
    <t>in, Concrete ring thickness</t>
  </si>
  <si>
    <t>in, see sketch</t>
  </si>
  <si>
    <t>mm, see ketch</t>
  </si>
  <si>
    <t xml:space="preserve">KN/mm2, Hydraulic pressure </t>
  </si>
  <si>
    <t xml:space="preserve">psi, Hydraulic pressure </t>
  </si>
  <si>
    <t>N/mm, Seismic Peak pressure</t>
  </si>
  <si>
    <t>lbf/in, Seismic Peak pressure</t>
  </si>
  <si>
    <t>N/mm A2*ph, Hydraulic Force</t>
  </si>
  <si>
    <t>lbf/in A2*ph, Hydraulic Force</t>
  </si>
  <si>
    <t>N/mm, Combine Force</t>
  </si>
  <si>
    <t>lbf/in, Combine Force</t>
  </si>
  <si>
    <t>mm, Displacement Combined force</t>
  </si>
  <si>
    <t>in, Displacement Combined force</t>
  </si>
  <si>
    <t>mm, displacement from the center</t>
  </si>
  <si>
    <t>in, displacement from the center</t>
  </si>
  <si>
    <t>mm, Kernel dimension</t>
  </si>
  <si>
    <t>in, Kernel dimension</t>
  </si>
  <si>
    <t>msc</t>
  </si>
  <si>
    <t>Minimum required Safety factor</t>
  </si>
  <si>
    <t>N/mm2, Maximun Pressure</t>
  </si>
  <si>
    <t>psi, Maximun Pressure</t>
  </si>
  <si>
    <t>tmax*sc</t>
  </si>
  <si>
    <t>N/mm3, Design Pressure</t>
  </si>
  <si>
    <t>tmax*msc</t>
  </si>
  <si>
    <t>psi, Design Pressure</t>
  </si>
  <si>
    <t xml:space="preserve">N/mm2, Nominal compressive strenght </t>
  </si>
  <si>
    <t>HLB</t>
  </si>
  <si>
    <t>psi, Nominal compressive strenght</t>
  </si>
  <si>
    <t>csf</t>
  </si>
  <si>
    <t>calculated safety factor</t>
  </si>
  <si>
    <t>Due to HLB1000 safety factor is &gt; 3.5 we dont consider necessary the use of HLB1200 under the ring beam</t>
  </si>
  <si>
    <t>Earthquake Design Data CASE CLE/Datos de diseño sismico CASO CLE</t>
  </si>
  <si>
    <t>no suma nieve, corregir</t>
  </si>
  <si>
    <t>Due to HLB800 safety factor is &gt; 2.5 we dont consider necessary the use of HLB1200 under the ring beam</t>
  </si>
  <si>
    <t>Adopted HLB</t>
  </si>
  <si>
    <t>due to API650 OLE case</t>
  </si>
  <si>
    <t xml:space="preserve">aceleraciones </t>
  </si>
  <si>
    <t>lo trae de la hoja condiciones de diseño</t>
  </si>
  <si>
    <t>corregido, no sumaba nieve</t>
  </si>
  <si>
    <t>Lateral force shear / Fuerzas tangenciales</t>
  </si>
  <si>
    <t>Vs/V</t>
  </si>
  <si>
    <t>Compresssion Forces/Fuerzas de compresión</t>
  </si>
  <si>
    <t>N/m Forces to resit uplifting/ Fuerza resistente al levantamiento</t>
  </si>
  <si>
    <t xml:space="preserve">Concrete Ring&amp;Insulation Compressive Strenght </t>
  </si>
  <si>
    <t>Concrete Ring&amp;Insulation Compressive strength</t>
  </si>
  <si>
    <t>minimum required safety factor for normal operation</t>
  </si>
  <si>
    <t>tmax *msc</t>
  </si>
  <si>
    <t>N/mm2, Design Pressure</t>
  </si>
  <si>
    <t xml:space="preserve">psi, Nominal compressive strenght </t>
  </si>
  <si>
    <t>Outer Tank Seismic Design</t>
  </si>
  <si>
    <t>Earthquake Design data/Datos de diseño sismico</t>
  </si>
  <si>
    <t>NOTA:</t>
  </si>
  <si>
    <t>LAS ACELERACIONES DE CALCULO LAS TOMA DE LA HOJA API650 TI</t>
  </si>
  <si>
    <t>NA</t>
  </si>
  <si>
    <t>Tank Design Data/Datos de diseño del tanque</t>
  </si>
  <si>
    <t>****</t>
  </si>
  <si>
    <t>psi, Minimum specified yield strength of bottom annulus/Resistencia minima de rotura del anillo inferior</t>
  </si>
  <si>
    <t>HC-FB-12046-100</t>
  </si>
  <si>
    <t>N/m Maximun shear force at bottom of shell/ Maxima fuerza tangencial en la base de la envolvente</t>
  </si>
  <si>
    <t>in, Height from the bottom of the tank shell to the center of action of the lateral seismic force related to the impulsive liquid force for slab moment/ Altura del C.d.G relacionado con las fuerzas impulsivas para el momento en la losa</t>
  </si>
  <si>
    <t>lb*ft, Ring Wall moment/ Momento en el anillo</t>
  </si>
  <si>
    <t>lb*ft, Slab Moment/Momento en la losa</t>
  </si>
  <si>
    <t>N/mm2 Maximum longitudinal shell compression stress at the botom of the shell(J&lt;0.785), Slab peak/ Maxima ccomrpesión de la envolvente en el fondo de la envolventes,</t>
  </si>
  <si>
    <t>psi, Maximum longitudinal shell compression stress at the bottom of the shell(J&lt;0.785), Slab peak/ Maxima ccomrpesión de la envolvente en el fondo de la envolventes,</t>
  </si>
  <si>
    <t>Must be &lt;44</t>
  </si>
  <si>
    <t>N, Maximum force per anchor bolt / Fuerza maxima por perno de anclaje</t>
  </si>
  <si>
    <t>lbf, Maximum force per anchor bolt / Fuerza maxima por perno de anclaje</t>
  </si>
  <si>
    <t>deberia ser por perno de anclaje y no por strap, lo he cambiado</t>
  </si>
  <si>
    <t>N/mm2 Maxium stress in anchor bolt/ Tensión maxima en perno de anclaje</t>
  </si>
  <si>
    <t>psi, Maximum stress in anchor bolt/ Tensión maxima en perno de anclaje</t>
  </si>
  <si>
    <t>* Negatives values indicate that the tank is stable without anchors. / Valores negativos indican que el tanque es estable sin anclajes</t>
  </si>
  <si>
    <t>Forces due to insulation movement/ Fuerzas debido al movimiento del liquido</t>
  </si>
  <si>
    <t>Free boar for sloashing wave</t>
  </si>
  <si>
    <t xml:space="preserve">Maximun sloshing wave height/ Altura maxima de la ola. </t>
  </si>
  <si>
    <t>m, Free booarde required./ Altura libre requerida See E-7 Api 650 table.</t>
  </si>
  <si>
    <t>Loads on the Slab</t>
  </si>
  <si>
    <t>Loads in the slab / Cargas en la losa</t>
  </si>
  <si>
    <t>Loads on the slab / Cargas en la losa</t>
  </si>
  <si>
    <t>Seismic loads / Cargas sísmicas</t>
  </si>
  <si>
    <t>Pd</t>
  </si>
  <si>
    <t xml:space="preserve">bar, Design Pressure/Presión de diseño       </t>
  </si>
  <si>
    <t xml:space="preserve">psi, Design Pressure/Presión de diseño       </t>
  </si>
  <si>
    <t>N/m,</t>
  </si>
  <si>
    <t xml:space="preserve"> Longitudinal Shell comrpession. Pressure for the slab/ Compresion Longitudinal de la envolvente. Presion a la losa</t>
  </si>
  <si>
    <t>ojo con Pfp</t>
  </si>
  <si>
    <t>Pp</t>
  </si>
  <si>
    <t xml:space="preserve">bar Test Pressure/Presión de prueba       </t>
  </si>
  <si>
    <t xml:space="preserve">psi Test Pressure/Presión de prueba       </t>
  </si>
  <si>
    <t>F1 = Pfp</t>
  </si>
  <si>
    <t>lb/ft</t>
  </si>
  <si>
    <t>m2 Inner Vessel area/Area del tanque interior</t>
  </si>
  <si>
    <t>ft2 Inner Vessel area/Area del tanque interior</t>
  </si>
  <si>
    <t>F2 = P8 * Av</t>
  </si>
  <si>
    <t>Wsi</t>
  </si>
  <si>
    <t>kg Weight of inner vessel shell/Peso de la envolvente interior</t>
  </si>
  <si>
    <t>lb Weight of inner vessel shell/Peso de la envolvente interior</t>
  </si>
  <si>
    <t>F3 = (P3+P7) * Av</t>
  </si>
  <si>
    <t>Wri</t>
  </si>
  <si>
    <t>kg Weight of  inner vessel roof/Peso del techo interior</t>
  </si>
  <si>
    <t>OUTER TANK</t>
  </si>
  <si>
    <t>lb Weight of  inner vessel roof/Peso del techo interior</t>
  </si>
  <si>
    <t>F4 = (P4 + P6 + P9 + P10 + P1) * Av</t>
  </si>
  <si>
    <t>Wso</t>
  </si>
  <si>
    <t>kg Weight of outer tank shell/Peso de la envolvente exterior</t>
  </si>
  <si>
    <t>TANQUE EXTERIOR</t>
  </si>
  <si>
    <t>lb Weight of outer tank shell/Peso de la envolvente exterior</t>
  </si>
  <si>
    <t>F5 = Fai * Nº straps</t>
  </si>
  <si>
    <t>Wro</t>
  </si>
  <si>
    <t>kg Weight of outer tank roof/Peso del techo exterior</t>
  </si>
  <si>
    <t>F3</t>
  </si>
  <si>
    <t>lb Weight of outer tank roof/Peso del techo exterior</t>
  </si>
  <si>
    <t>Wbi</t>
  </si>
  <si>
    <t>kg Weight of inner vessel bottom/Peso del fondo interior</t>
  </si>
  <si>
    <t>F1</t>
  </si>
  <si>
    <t xml:space="preserve">        INNER TANK</t>
  </si>
  <si>
    <t>lb Weight of inner vessel bottom/Peso del fondo interior</t>
  </si>
  <si>
    <t>Product to PSV height</t>
  </si>
  <si>
    <t>Wbo</t>
  </si>
  <si>
    <t>kg Weight of outer tank bottom/Peso del fondo exterior</t>
  </si>
  <si>
    <t xml:space="preserve">        TANQUE INTERIOR</t>
  </si>
  <si>
    <t>lb Weight of outer tank bottom/Peso del fondo exterior</t>
  </si>
  <si>
    <t>Fai</t>
  </si>
  <si>
    <t>kg Force in anchor straps due to earthquake/Fuerza en los anclajes por terremoto</t>
  </si>
  <si>
    <t>lb Force in anchor straps due to earthquake/Fuerza en los anclajes por terremoto</t>
  </si>
  <si>
    <t>F1 = P5</t>
  </si>
  <si>
    <t>Wpmh</t>
  </si>
  <si>
    <t>ton, Weight of product to PSV height</t>
  </si>
  <si>
    <t xml:space="preserve">                   F2</t>
  </si>
  <si>
    <t>F4</t>
  </si>
  <si>
    <t xml:space="preserve">        F2</t>
  </si>
  <si>
    <t>lb, weight of liquid product to the trycock height</t>
  </si>
  <si>
    <t>F2 = P8</t>
  </si>
  <si>
    <t>Wpr</t>
  </si>
  <si>
    <t xml:space="preserve">kg Weight of perlite over the roof/Masa de la Perlita sobre el Techo      </t>
  </si>
  <si>
    <t xml:space="preserve">lb Weight of perlite over the roof/Masa de la Perlita sobre el Techo      </t>
  </si>
  <si>
    <t>F3 = 0</t>
  </si>
  <si>
    <t>Wpl</t>
  </si>
  <si>
    <t>kg Weight of perlite between shells/Masa Pelita interpared</t>
  </si>
  <si>
    <t>lb Weight of perlite between shells/Masa Pelita interpared</t>
  </si>
  <si>
    <t>F4 = P4 + P6 + P9 + Wpmh + P1</t>
  </si>
  <si>
    <t>kg Weight Concrete between shells/Peso del hormigón interpared</t>
  </si>
  <si>
    <t>F5</t>
  </si>
  <si>
    <t>CONCRETE SLAB / LOSA</t>
  </si>
  <si>
    <t>lb Weight Concrete between shells/Peso del hormigón interpared</t>
  </si>
  <si>
    <t>F5 = U</t>
  </si>
  <si>
    <t xml:space="preserve">N, </t>
  </si>
  <si>
    <t>Net Uplift Force/Fuerza neta de Levantamiento</t>
  </si>
  <si>
    <t>ojo con U</t>
  </si>
  <si>
    <t>kg Weight of Celullar glass and supports/Peso de la losa de Celullar glasss y apoyos</t>
  </si>
  <si>
    <t xml:space="preserve">         STRAP'S</t>
  </si>
  <si>
    <t>lb Weight of Celullar glass and supports/Peso de la losa de Celullar glasss y apoyos</t>
  </si>
  <si>
    <t>m3 Liquid Volume/Volumen del liquido</t>
  </si>
  <si>
    <t>ft3 Liquid Volume/Volumen del liquido</t>
  </si>
  <si>
    <t>pho</t>
  </si>
  <si>
    <t>kg/m3 Product density/Densidad del producto</t>
  </si>
  <si>
    <t>lb/ft3 Product density/Densidad del producto</t>
  </si>
  <si>
    <t>phoH2O</t>
  </si>
  <si>
    <t>kg/m3 Water density/Densidad del agua</t>
  </si>
  <si>
    <t>lb/ft3 Water density/Densidad del agua</t>
  </si>
  <si>
    <t>Wni</t>
  </si>
  <si>
    <t>kg Weight of the snow over the roof / Peso de la nieve sobre el techo</t>
  </si>
  <si>
    <t>lb Weight of the snow over the roof / Peso de la nieve sobre el techo</t>
  </si>
  <si>
    <t>LOADS OF STORAGE TANK IN THE CONCRETE SLAB/CARGAS DEL TANQUE DE ALMACENAMIENTO SOBRE LA LOSA</t>
  </si>
  <si>
    <t>Calculation of each load/Cálculo de cargas separadas:</t>
  </si>
  <si>
    <t>Uplift force acting on the roof of the vessel under design condition/Fuerza de levantamiento que actua en el techo del recipiente bajo condiciones de diseño</t>
  </si>
  <si>
    <t>P1= p.A</t>
  </si>
  <si>
    <t>Uplift force acting on the roof of the vessel under test condition/Fuerza de levantamiento que actua en el techo del recipiente bajo condiciones de prueba:</t>
  </si>
  <si>
    <t>P2= pp.A</t>
  </si>
  <si>
    <t>Weight of inner vessl except bottom/Peso del recipiento interno excepto fondo</t>
  </si>
  <si>
    <t>P3=Wsi+Wri</t>
  </si>
  <si>
    <t>Weight of inner vessel bottom/Peso del fondo del tanque interior</t>
  </si>
  <si>
    <t>Weight of external tank except bottom/Peso del tanque exterior excepto el fondo:</t>
  </si>
  <si>
    <t>P5=Wso+Wro</t>
  </si>
  <si>
    <t>Weight of external tank flat bottom/Peso del fondo del tanque exterior:</t>
  </si>
  <si>
    <t>Weight of perlite over the inner vessel/Peso de la Perlita sobre el techo del tanque interior</t>
  </si>
  <si>
    <t>Weight of components in the annular space between inner vessel and outer tank/Peso de los componentes en la interpared cilíndrica:</t>
  </si>
  <si>
    <t>P8=Wpl+Wc</t>
  </si>
  <si>
    <t>Weight of bottom insulation/Peso del aislamiento del fondo:</t>
  </si>
  <si>
    <t>Weight of Liquid storage/Peso del liquido almacenado:</t>
  </si>
  <si>
    <t>P10=pho*V</t>
  </si>
  <si>
    <t>Weight of water during test/Peso del agua en prueba</t>
  </si>
  <si>
    <t>P11=phoH2O*V</t>
  </si>
  <si>
    <t>Total Loads on the base/Cargas totales en la base de apoyo</t>
  </si>
  <si>
    <t>Loads (lb)</t>
  </si>
  <si>
    <t>Situation / Situacion</t>
  </si>
  <si>
    <t>F2</t>
  </si>
  <si>
    <t>F5/nº Straps</t>
  </si>
  <si>
    <t>Without pressure/ Sin Pression</t>
  </si>
  <si>
    <t>With pressure/Con presion</t>
  </si>
  <si>
    <t>Hydropneumatic test/ Prueba Hidroneum.</t>
  </si>
  <si>
    <t>Snow Load/Carga de Nieve</t>
  </si>
  <si>
    <t>Fuerza Cortante/ Shear force(t)</t>
  </si>
  <si>
    <t>Moment/ Momento (t*m)</t>
  </si>
  <si>
    <t>Shear force / Fuerza Cortante (lb)</t>
  </si>
  <si>
    <t>Moment/ Momento (lb*ft)</t>
  </si>
  <si>
    <t>F5/nº straps</t>
  </si>
  <si>
    <t>Wind/ Viento</t>
  </si>
  <si>
    <t>Wind/Viento</t>
  </si>
  <si>
    <t>Inner tank seismic loads</t>
  </si>
  <si>
    <t>Outer tank seismic loads</t>
  </si>
  <si>
    <t>Without pressure/ Sin presion</t>
  </si>
  <si>
    <t>With pressure/ Con presion</t>
  </si>
  <si>
    <t>Hidropneumatic test/ Prueba Hidroneum.</t>
  </si>
  <si>
    <t>F1=P5</t>
  </si>
  <si>
    <t>F2=P8</t>
  </si>
  <si>
    <t>F2=P8-Wp</t>
  </si>
  <si>
    <t>F3=P3+P7</t>
  </si>
  <si>
    <t>F3=P3+P7-P1</t>
  </si>
  <si>
    <t>F3=P3-P2</t>
  </si>
  <si>
    <t>F4=P4+P6+P9+P10</t>
  </si>
  <si>
    <t>F4=P4+P6+P9+P10+P1</t>
  </si>
  <si>
    <t>F4=P4+P6+P9+P11+P2</t>
  </si>
  <si>
    <t>F5=0</t>
  </si>
  <si>
    <t>F5=P3+P7-P1</t>
  </si>
  <si>
    <t>F5=P3-P2</t>
  </si>
  <si>
    <t>F5=P2-P3</t>
  </si>
  <si>
    <t>* F3=0 If/Si P3+P7-P1&lt;0</t>
  </si>
  <si>
    <t>NOTAS</t>
  </si>
  <si>
    <t>COMPROBAR QUE CORTANTE Y MOMENTO VIENTO VIENEN DE LA HOJA DE CALCULO CONSIDERADA SEGÚN PAIS CLIENTE</t>
  </si>
  <si>
    <t>COMPROBAR QUE CORTANTE Y MOMENTO SISMO TANQUE INTERNO VIENEN DEL MAYOR DE LA HOJA DE CALCULO CONSIDERADA  (OLE, CLE, 650TI)</t>
  </si>
  <si>
    <t>SISMO TANQUE INTERNO</t>
  </si>
  <si>
    <t>SISMO TANQUE EXTERNO</t>
  </si>
  <si>
    <t>VIENTO</t>
  </si>
  <si>
    <t>OLE</t>
  </si>
  <si>
    <t>CLE</t>
  </si>
  <si>
    <t>API650TI</t>
  </si>
  <si>
    <t>CORTANTE (t)</t>
  </si>
  <si>
    <t>MOMENTO (tm)</t>
  </si>
  <si>
    <t xml:space="preserve">ojo esta mal, deberia ser </t>
  </si>
  <si>
    <t>4.5. Celular glass Resistance Check / Comprobacion de la resistencia del Cellular Glass</t>
  </si>
  <si>
    <t xml:space="preserve"> Celular glass Resistance Check / Comprobacion de la resistencia del Cellular Glass</t>
  </si>
  <si>
    <t>Loads acting above the bottom insulation region (see loads on the slab)</t>
  </si>
  <si>
    <t>Pfg</t>
  </si>
  <si>
    <t>Tn, Total Load over Foamglass / Carga sobre el Foamglas</t>
  </si>
  <si>
    <t>lb, Total Load over Foamglass / Carga sobre el Foamglas</t>
  </si>
  <si>
    <t>m2, Area of the inner tank</t>
  </si>
  <si>
    <t>ft2, Area of the inner tank</t>
  </si>
  <si>
    <t>Pf</t>
  </si>
  <si>
    <t>N/mm2, Pressure over Foamglass/ Presión sobre el Foamglass</t>
  </si>
  <si>
    <t>psi, Pressure over Foamglass/ Presión sobre el Foamglass</t>
  </si>
  <si>
    <t>Cellular Glass selected /Foamglas Escogido:</t>
  </si>
  <si>
    <t>Average Compresive Strenght</t>
  </si>
  <si>
    <t>Average Compresive Strength</t>
  </si>
  <si>
    <t>Safety Factor / Factor de Seguridad</t>
  </si>
  <si>
    <t>Minimum Required Safety Factor / Factor de Seguridad requerido</t>
  </si>
  <si>
    <t>(see ASU 7110 B-DE 1001 (EN)_rev.4 Tank data sheet page 5 of 28)</t>
  </si>
  <si>
    <t>Safety Factor/Factor de Seguridad</t>
  </si>
  <si>
    <t>Calculated Safety Factor/Factor de Seguridad calculado</t>
  </si>
  <si>
    <t>Due to HLB800 safety factor is &gt; 4 we dont consider necessary the use of HLB1200</t>
  </si>
  <si>
    <t>Due to HLB800 safety factor is &gt; 4 we will use HLB800 for the center area</t>
  </si>
  <si>
    <t>Note: see also cellular glass verification under seismic conditions OLE/CLE</t>
  </si>
  <si>
    <t>Note: see also cellular glass verification under applicable seismic conditions</t>
  </si>
  <si>
    <t>Note: Cellular Glass under the peripherical area is checked under inner tank seismic calculation</t>
  </si>
  <si>
    <t>CALCULATION/CALCULO:</t>
  </si>
  <si>
    <t>REINFORCEMENTS OF OPENINGS/REFUERZOS DE ABERTURAS</t>
  </si>
  <si>
    <t>COMPONENT/COMPONENTE:</t>
  </si>
  <si>
    <t>PROJECT/PROJECT:</t>
  </si>
  <si>
    <t>Openning Reinforcement calculation</t>
  </si>
  <si>
    <t>DATE/FECHA:</t>
  </si>
  <si>
    <t>DONE BY/HECHO POR:</t>
  </si>
  <si>
    <t xml:space="preserve"> Openning reinforcement calculation</t>
  </si>
  <si>
    <t>mm ,External Diameter of the pipe/Diametro exterior de la tuberia</t>
  </si>
  <si>
    <t>mm, Wall Opening Diameter/Diametro de la abertura</t>
  </si>
  <si>
    <t>mm2, Reinforcement neccessary area /Area de refuerzo necesaria</t>
  </si>
  <si>
    <t>mm, Nozzle thickness/Espesor de la tuberia</t>
  </si>
  <si>
    <t>Joint Efficiency use in thickness calculation for the wall/Eficiencia de soldadura usada en el calulo de la pared</t>
  </si>
  <si>
    <t>tw</t>
  </si>
  <si>
    <t>mm, Wall thickness/Espesor de la pared</t>
  </si>
  <si>
    <t>tn</t>
  </si>
  <si>
    <t>mm, Neccessary wall thickness/Espesor de pared necesario</t>
  </si>
  <si>
    <t>Lmax</t>
  </si>
  <si>
    <t>mm, Maximun Lenght of the reiforcement area/Longitud maxima del area de refuerzo</t>
  </si>
  <si>
    <t>Wmax</t>
  </si>
  <si>
    <t>mm, Maximun width of reinforcement area/Anchura maxima del area de refuerzo</t>
  </si>
  <si>
    <t>Ari</t>
  </si>
  <si>
    <t>mm2,  Inherent Reinforcement area /Area de refuerzo propia</t>
  </si>
  <si>
    <t>Ara</t>
  </si>
  <si>
    <t>mm2, Additional Reinforcement area required/Area de refuerzo adicional requerida</t>
  </si>
  <si>
    <t>mm, Reinforcement Lenght calculated/Longitud del Refuerzo calculada</t>
  </si>
  <si>
    <t>mm, Width choose of reinforcement for Lr calculation/Anchura adoptada de refuerzo para calculo de Lr</t>
  </si>
  <si>
    <t>Lc</t>
  </si>
  <si>
    <t>mm, Reinforcement Lenght choose/Longitud del Refuerzo adoptada</t>
  </si>
  <si>
    <t>wc</t>
  </si>
  <si>
    <t>mm, Reinforcement Width choose/Anchura del Refuerzo adoptada</t>
  </si>
  <si>
    <t>Arc</t>
  </si>
  <si>
    <t>mm2, Reinforcement Area choose/Area de refuerzo escogida</t>
  </si>
  <si>
    <t>mm, Lenght of entrace of the nozzle/ Longitud de entrada de la tuberia</t>
  </si>
  <si>
    <t>Opening</t>
  </si>
  <si>
    <t>Compresion Case</t>
  </si>
  <si>
    <t>N11,N12,N31,N35,N30,N34,N20,N06</t>
  </si>
  <si>
    <t>YES</t>
  </si>
  <si>
    <t>N36,A35,N02</t>
  </si>
  <si>
    <t>N03,N04</t>
  </si>
  <si>
    <t>N21,N22</t>
  </si>
  <si>
    <t>N05</t>
  </si>
  <si>
    <t xml:space="preserve"> Opening</t>
  </si>
  <si>
    <t xml:space="preserve">Wi </t>
  </si>
  <si>
    <t>wr</t>
  </si>
  <si>
    <t>wa</t>
  </si>
  <si>
    <t>Concrete reinforcement bars checking</t>
  </si>
  <si>
    <t>4.7. Concrete reinforcement calculation</t>
  </si>
  <si>
    <t>m, distance from outer concrete edge to shell course</t>
  </si>
  <si>
    <t>in, distance from outer concrete edge to shell course</t>
  </si>
  <si>
    <t>m, distance from inner concrete edge to shell course</t>
  </si>
  <si>
    <t>in, distance from inner concrete edge to shell course</t>
  </si>
  <si>
    <t>m, distance from extreme compression fiber to centroid of long tension reinforcement</t>
  </si>
  <si>
    <t>in, distance from extreme compression fiber to centroid of long tension reinforcement</t>
  </si>
  <si>
    <t>width</t>
  </si>
  <si>
    <t>m, calculation base</t>
  </si>
  <si>
    <t>in, calculation base</t>
  </si>
  <si>
    <t>kN/m, liquid pressure</t>
  </si>
  <si>
    <t>kN, peak force on the bottom of the shell</t>
  </si>
  <si>
    <t>lbf, peak force on the bottom of the shell</t>
  </si>
  <si>
    <t>Number of reinforcements</t>
  </si>
  <si>
    <t>Ør</t>
  </si>
  <si>
    <t>mm, Reinforcement diameter</t>
  </si>
  <si>
    <t>in, Reinforcement diameter</t>
  </si>
  <si>
    <t>Sadm</t>
  </si>
  <si>
    <t>Mpa, allowable design stress of reinforcement bars</t>
  </si>
  <si>
    <t>psi, allowable design stress of reinforcement bars</t>
  </si>
  <si>
    <t>m, inner tank diameter</t>
  </si>
  <si>
    <t>in, inner tank diameter</t>
  </si>
  <si>
    <t>calc diameter</t>
  </si>
  <si>
    <t>Na</t>
  </si>
  <si>
    <t>Number of armoring wire rings</t>
  </si>
  <si>
    <t>Øa</t>
  </si>
  <si>
    <t>mm, armoring diameter</t>
  </si>
  <si>
    <t>in, armoring diameter</t>
  </si>
  <si>
    <t>Concrete loads</t>
  </si>
  <si>
    <t>M'</t>
  </si>
  <si>
    <t>kNm, Bending moment on the lower face</t>
  </si>
  <si>
    <t>lbf*ft, Bending moment on the lower face</t>
  </si>
  <si>
    <t>C1</t>
  </si>
  <si>
    <t>N'</t>
  </si>
  <si>
    <t>kN, total shear force</t>
  </si>
  <si>
    <t>lbf, total shear force</t>
  </si>
  <si>
    <t>C2</t>
  </si>
  <si>
    <t>σmax</t>
  </si>
  <si>
    <t>pendiente recta reaccion</t>
  </si>
  <si>
    <t>σmin</t>
  </si>
  <si>
    <t>σave</t>
  </si>
  <si>
    <t>Mb(+)</t>
  </si>
  <si>
    <t>kNm, maximum bending moment (positive)</t>
  </si>
  <si>
    <t>lbf*ft, maximum bending moment (positive)</t>
  </si>
  <si>
    <t>Mb(-)</t>
  </si>
  <si>
    <t>kNm, maximum bending moment (negative)</t>
  </si>
  <si>
    <t>lbf*ft, maximum bending moment (negative)</t>
  </si>
  <si>
    <t>Vd</t>
  </si>
  <si>
    <t>kN, maximum shear stress</t>
  </si>
  <si>
    <t>lbf, maximum shear stress</t>
  </si>
  <si>
    <t>Bending moments calculations</t>
  </si>
  <si>
    <t>kN, maximum tension force in reinforcement bars</t>
  </si>
  <si>
    <t>lbf, maximum tension force in reinforcement bars</t>
  </si>
  <si>
    <t>m, distance from the fiber of maximum strain to neutral axis</t>
  </si>
  <si>
    <t>in, distance from the fiber of maximum strain to neutral axis</t>
  </si>
  <si>
    <t>mm2, reinforcemt area/m</t>
  </si>
  <si>
    <t>in2, reinforcemt area/m</t>
  </si>
  <si>
    <t>Mr</t>
  </si>
  <si>
    <t>kNm, resisting bending moment</t>
  </si>
  <si>
    <t>lbf*ft, resisting bending moment</t>
  </si>
  <si>
    <t xml:space="preserve">mm2, armoring area </t>
  </si>
  <si>
    <t xml:space="preserve">in2, armoring area </t>
  </si>
  <si>
    <t>Shear strength calculation</t>
  </si>
  <si>
    <t>kN, allowable shear force</t>
  </si>
  <si>
    <t>lbf, allowable shear force</t>
  </si>
  <si>
    <t>Checkings</t>
  </si>
  <si>
    <t>mm2, concrete area</t>
  </si>
  <si>
    <t>in2, concrete area</t>
  </si>
  <si>
    <t>%o, minimum required reinforcement</t>
  </si>
  <si>
    <t>Arr</t>
  </si>
  <si>
    <t>mm2, minimum required reinfocement</t>
  </si>
  <si>
    <t>in2, minimum required reinfocement</t>
  </si>
  <si>
    <t>Checking for cross area (armoring wire)</t>
  </si>
  <si>
    <t>Checking for long area (reinforcement bars)</t>
  </si>
  <si>
    <t>Checking for bending moments</t>
  </si>
  <si>
    <t>Checking for shear stress</t>
  </si>
  <si>
    <t>ASCE 7-10 CHECKING</t>
  </si>
  <si>
    <t>ASCE 7 CHECKING</t>
  </si>
  <si>
    <t xml:space="preserve"> ASCE 7-10 checking</t>
  </si>
  <si>
    <t>4.8. Concrete reinforcement calculation</t>
  </si>
  <si>
    <t>ft, Internal Diameter/Diámetro interior</t>
  </si>
  <si>
    <t>ft, Shell height,</t>
  </si>
  <si>
    <t>Height from grade (ft)</t>
  </si>
  <si>
    <t>ft, Shell height</t>
  </si>
  <si>
    <t>Hst</t>
  </si>
  <si>
    <t>ft, Shell height inluiding height from grade</t>
  </si>
  <si>
    <t>ft, roof height</t>
  </si>
  <si>
    <t xml:space="preserve">mph, wind speed </t>
  </si>
  <si>
    <t>mph, wind speed per ASCE 7-05</t>
  </si>
  <si>
    <t>Velocity pressure coefficient</t>
  </si>
  <si>
    <t>q = 0,00256*Kz*Kzt*Kd*V^2</t>
  </si>
  <si>
    <t>Z(ft)</t>
  </si>
  <si>
    <t>V (mph)</t>
  </si>
  <si>
    <t>q (lbf/ft2)</t>
  </si>
  <si>
    <t>q (N/m2)</t>
  </si>
  <si>
    <t>0-15</t>
  </si>
  <si>
    <t>15-20</t>
  </si>
  <si>
    <t>20-25</t>
  </si>
  <si>
    <t>25-30</t>
  </si>
  <si>
    <t>30-40</t>
  </si>
  <si>
    <t>40-50</t>
  </si>
  <si>
    <t>50-60</t>
  </si>
  <si>
    <t>60-70</t>
  </si>
  <si>
    <t>60-62</t>
  </si>
  <si>
    <t>Force calculation ( See 29.5)</t>
  </si>
  <si>
    <t>F = qz*G*Cf*Af</t>
  </si>
  <si>
    <t>F=qz*G*Cf*Af</t>
  </si>
  <si>
    <t>F (lbf)</t>
  </si>
  <si>
    <t>F (N)</t>
  </si>
  <si>
    <t>Average shear force due to wind on shell</t>
  </si>
  <si>
    <t>According to ASCE 7-10</t>
  </si>
  <si>
    <t>According to ASCE 7</t>
  </si>
  <si>
    <t>According to API620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</si>
</sst>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164" formatCode="0.0"/>
    <numFmt numFmtId="165" formatCode="0.000"/>
    <numFmt numFmtId="166" formatCode="#,##0.000"/>
    <numFmt numFmtId="167" formatCode="0.0000"/>
    <numFmt numFmtId="168" formatCode="0.000000"/>
    <numFmt numFmtId="169" formatCode="0.E+00"/>
    <numFmt numFmtId="170" formatCode="0.00000"/>
    <numFmt numFmtId="171" formatCode="0.000E+00"/>
    <numFmt numFmtId="172" formatCode="0.0000E+00"/>
    <numFmt numFmtId="173" formatCode="dd/mm/yy;@"/>
    <numFmt numFmtId="174" formatCode="0.0000%"/>
    <numFmt numFmtId="175" formatCode="0.000%"/>
    <numFmt numFmtId="176" formatCode="[$-409]dd\-mmm\-yy;@"/>
    <numFmt numFmtId="177" formatCode="_-* #,##0.00_-;\-* #,##0.00_-;_-* &quot;-&quot;??_-;_-@_-"/>
    <numFmt numFmtId="178" formatCode="#,##0.00\ &quot;€&quot;"/>
    <numFmt numFmtId="179" formatCode="#,##0.0000"/>
    <numFmt numFmtId="180" formatCode="_-* #,##0.00\ &quot;€&quot;_-;\-* #,##0.00\ &quot;€&quot;_-;_-* &quot;-&quot;??\ &quot;€&quot;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22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rgb="FFFF0000"/>
      <name val="Arial"/>
      <family val="2"/>
    </font>
    <font>
      <sz val="10"/>
      <name val="Helvetica"/>
    </font>
    <font>
      <b/>
      <sz val="10"/>
      <color rgb="FF0070C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darkUp"/>
    </fill>
    <fill>
      <patternFill patternType="darkUp">
        <f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0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0">
    <xf numFmtId="0" fontId="0" fillId="0" borderId="0"/>
    <xf numFmtId="0" fontId="4" fillId="0" borderId="0">
      <alignment vertical="top"/>
      <protection locked="0"/>
    </xf>
    <xf numFmtId="44" fontId="65" fillId="0" borderId="0"/>
    <xf numFmtId="0" fontId="65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56" fillId="0" borderId="0"/>
    <xf numFmtId="0" fontId="56" fillId="0" borderId="0"/>
  </cellStyleXfs>
  <cellXfs count="1102">
    <xf numFmtId="0" fontId="0" fillId="0" borderId="0" xfId="0"/>
    <xf numFmtId="0" fontId="0" fillId="0" borderId="0" xfId="0" applyAlignment="1">
      <alignment horizontal="left"/>
    </xf>
    <xf numFmtId="0" fontId="2" fillId="0" borderId="0" xfId="6"/>
    <xf numFmtId="0" fontId="0" fillId="15" borderId="80" xfId="0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14" fontId="30" fillId="0" borderId="1" xfId="0" applyNumberFormat="1" applyFont="1" applyBorder="1" applyAlignment="1" applyProtection="1">
      <alignment horizontal="center" vertical="center" wrapText="1"/>
      <protection locked="0"/>
    </xf>
    <xf numFmtId="176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0" fillId="0" borderId="7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" xfId="0" applyBorder="1" applyProtection="1">
      <protection locked="0"/>
    </xf>
    <xf numFmtId="0" fontId="27" fillId="0" borderId="33" xfId="0" applyFont="1" applyBorder="1" applyProtection="1">
      <protection locked="0"/>
    </xf>
    <xf numFmtId="0" fontId="27" fillId="0" borderId="34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74" xfId="0" applyBorder="1" applyProtection="1">
      <protection locked="0"/>
    </xf>
    <xf numFmtId="0" fontId="0" fillId="0" borderId="64" xfId="0" applyBorder="1" applyProtection="1">
      <protection locked="0"/>
    </xf>
    <xf numFmtId="0" fontId="41" fillId="0" borderId="60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19" xfId="0" applyFont="1" applyBorder="1" applyAlignment="1" applyProtection="1">
      <alignment horizontal="center" vertical="center" wrapText="1"/>
      <protection locked="0"/>
    </xf>
    <xf numFmtId="0" fontId="40" fillId="0" borderId="20" xfId="0" applyFont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44" xfId="0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15" fontId="3" fillId="0" borderId="13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27" fillId="0" borderId="35" xfId="0" applyFont="1" applyBorder="1" applyAlignment="1" applyProtection="1">
      <alignment horizontal="center" vertical="top" wrapText="1"/>
      <protection locked="0"/>
    </xf>
    <xf numFmtId="0" fontId="27" fillId="0" borderId="36" xfId="0" applyFont="1" applyBorder="1" applyAlignment="1" applyProtection="1">
      <alignment horizontal="center" vertical="top" wrapText="1"/>
      <protection locked="0"/>
    </xf>
    <xf numFmtId="0" fontId="27" fillId="0" borderId="37" xfId="0" applyFont="1" applyBorder="1" applyAlignment="1" applyProtection="1">
      <alignment horizontal="center" vertical="top" wrapText="1"/>
      <protection locked="0"/>
    </xf>
    <xf numFmtId="0" fontId="27" fillId="0" borderId="1" xfId="0" applyFont="1" applyBorder="1" applyAlignment="1" applyProtection="1">
      <alignment horizontal="center" vertical="top" wrapText="1"/>
      <protection locked="0"/>
    </xf>
    <xf numFmtId="0" fontId="30" fillId="0" borderId="1" xfId="0" applyFont="1" applyBorder="1" applyAlignment="1" applyProtection="1">
      <alignment horizontal="center" vertical="top" wrapText="1"/>
      <protection locked="0"/>
    </xf>
    <xf numFmtId="0" fontId="30" fillId="0" borderId="37" xfId="0" applyFont="1" applyBorder="1" applyAlignment="1" applyProtection="1">
      <alignment horizontal="center" vertical="top" wrapText="1"/>
      <protection locked="0"/>
    </xf>
    <xf numFmtId="0" fontId="14" fillId="0" borderId="37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0" xfId="0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 vertical="top"/>
      <protection locked="0"/>
    </xf>
    <xf numFmtId="0" fontId="32" fillId="0" borderId="0" xfId="0" applyFont="1" applyAlignment="1" applyProtection="1">
      <alignment horizontal="left"/>
      <protection locked="0"/>
    </xf>
    <xf numFmtId="0" fontId="68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center" vertical="top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2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2" fillId="0" borderId="0" xfId="0" applyFont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27" fillId="0" borderId="0" xfId="0" applyFont="1" applyAlignment="1" applyProtection="1">
      <alignment vertical="top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0" fillId="0" borderId="25" xfId="0" applyBorder="1" applyProtection="1">
      <protection locked="0"/>
    </xf>
    <xf numFmtId="0" fontId="37" fillId="0" borderId="10" xfId="0" applyFont="1" applyBorder="1" applyProtection="1">
      <protection locked="0"/>
    </xf>
    <xf numFmtId="0" fontId="37" fillId="0" borderId="0" xfId="0" applyFont="1" applyProtection="1">
      <protection locked="0"/>
    </xf>
    <xf numFmtId="0" fontId="37" fillId="0" borderId="29" xfId="0" applyFont="1" applyBorder="1" applyProtection="1">
      <protection locked="0"/>
    </xf>
    <xf numFmtId="0" fontId="37" fillId="0" borderId="0" xfId="0" applyFont="1" applyAlignment="1" applyProtection="1">
      <alignment wrapText="1"/>
      <protection locked="0"/>
    </xf>
    <xf numFmtId="0" fontId="7" fillId="0" borderId="10" xfId="0" applyFont="1" applyBorder="1" applyAlignment="1" applyProtection="1">
      <alignment wrapText="1"/>
      <protection locked="0"/>
    </xf>
    <xf numFmtId="176" fontId="30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4" fontId="3" fillId="0" borderId="29" xfId="0" applyNumberFormat="1" applyFont="1" applyBorder="1" applyAlignment="1" applyProtection="1">
      <alignment horizontal="center"/>
      <protection locked="0"/>
    </xf>
    <xf numFmtId="176" fontId="3" fillId="0" borderId="29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6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23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37" fillId="0" borderId="1" xfId="0" applyFont="1" applyBorder="1" applyAlignment="1" applyProtection="1">
      <alignment horizontal="center"/>
      <protection locked="0"/>
    </xf>
    <xf numFmtId="0" fontId="6" fillId="0" borderId="40" xfId="0" applyFont="1" applyBorder="1" applyProtection="1">
      <protection locked="0"/>
    </xf>
    <xf numFmtId="0" fontId="0" fillId="0" borderId="38" xfId="0" applyBorder="1" applyAlignment="1" applyProtection="1">
      <alignment horizontal="center"/>
      <protection locked="0"/>
    </xf>
    <xf numFmtId="0" fontId="37" fillId="0" borderId="40" xfId="0" applyFont="1" applyBorder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0" fillId="0" borderId="24" xfId="0" applyBorder="1" applyProtection="1">
      <protection locked="0"/>
    </xf>
    <xf numFmtId="0" fontId="12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44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2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44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45" fillId="0" borderId="0" xfId="0" applyFont="1" applyProtection="1">
      <protection locked="0"/>
    </xf>
    <xf numFmtId="0" fontId="3" fillId="0" borderId="10" xfId="0" applyFont="1" applyBorder="1" applyProtection="1">
      <protection locked="0"/>
    </xf>
    <xf numFmtId="0" fontId="3" fillId="0" borderId="25" xfId="0" applyFont="1" applyBorder="1" applyAlignment="1" applyProtection="1">
      <alignment horizontal="center"/>
      <protection locked="0"/>
    </xf>
    <xf numFmtId="2" fontId="3" fillId="2" borderId="44" xfId="0" applyNumberFormat="1" applyFont="1" applyFill="1" applyBorder="1" applyAlignment="1" applyProtection="1">
      <alignment horizontal="center"/>
      <protection locked="0"/>
    </xf>
    <xf numFmtId="167" fontId="3" fillId="25" borderId="24" xfId="0" applyNumberFormat="1" applyFont="1" applyFill="1" applyBorder="1" applyAlignment="1" applyProtection="1">
      <alignment horizontal="center"/>
      <protection locked="0"/>
    </xf>
    <xf numFmtId="167" fontId="3" fillId="2" borderId="44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 applyProtection="1"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3" fillId="25" borderId="24" xfId="0" quotePrefix="1" applyFont="1" applyFill="1" applyBorder="1" applyAlignment="1" applyProtection="1">
      <alignment horizontal="center"/>
      <protection locked="0"/>
    </xf>
    <xf numFmtId="165" fontId="3" fillId="2" borderId="44" xfId="0" applyNumberFormat="1" applyFont="1" applyFill="1" applyBorder="1" applyAlignment="1" applyProtection="1">
      <alignment horizontal="center"/>
      <protection locked="0"/>
    </xf>
    <xf numFmtId="0" fontId="3" fillId="25" borderId="24" xfId="0" applyFont="1" applyFill="1" applyBorder="1" applyAlignment="1" applyProtection="1">
      <alignment horizontal="center"/>
      <protection locked="0"/>
    </xf>
    <xf numFmtId="167" fontId="3" fillId="25" borderId="44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2" borderId="24" xfId="0" quotePrefix="1" applyFont="1" applyFill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2" borderId="44" xfId="0" quotePrefix="1" applyFont="1" applyFill="1" applyBorder="1" applyAlignment="1" applyProtection="1">
      <alignment horizontal="center"/>
      <protection locked="0"/>
    </xf>
    <xf numFmtId="164" fontId="3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0" borderId="44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7" xfId="0" applyFont="1" applyBorder="1" applyProtection="1">
      <protection locked="0"/>
    </xf>
    <xf numFmtId="0" fontId="3" fillId="0" borderId="22" xfId="0" applyFont="1" applyBorder="1" applyProtection="1">
      <protection locked="0"/>
    </xf>
    <xf numFmtId="165" fontId="3" fillId="2" borderId="24" xfId="0" applyNumberFormat="1" applyFont="1" applyFill="1" applyBorder="1" applyAlignment="1" applyProtection="1">
      <alignment horizontal="center"/>
      <protection locked="0"/>
    </xf>
    <xf numFmtId="0" fontId="64" fillId="0" borderId="26" xfId="0" applyFont="1" applyBorder="1" applyAlignment="1" applyProtection="1">
      <alignment horizontal="left"/>
      <protection locked="0"/>
    </xf>
    <xf numFmtId="0" fontId="64" fillId="0" borderId="21" xfId="0" applyFont="1" applyBorder="1" applyProtection="1">
      <protection locked="0"/>
    </xf>
    <xf numFmtId="0" fontId="12" fillId="0" borderId="21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167" fontId="3" fillId="2" borderId="24" xfId="0" applyNumberFormat="1" applyFont="1" applyFill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alignment horizontal="left"/>
      <protection locked="0"/>
    </xf>
    <xf numFmtId="0" fontId="12" fillId="0" borderId="21" xfId="0" applyFont="1" applyBorder="1" applyAlignment="1" applyProtection="1">
      <alignment wrapText="1"/>
      <protection locked="0"/>
    </xf>
    <xf numFmtId="0" fontId="0" fillId="0" borderId="27" xfId="0" applyBorder="1" applyProtection="1">
      <protection locked="0"/>
    </xf>
    <xf numFmtId="0" fontId="12" fillId="0" borderId="11" xfId="0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left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165" fontId="3" fillId="2" borderId="24" xfId="0" quotePrefix="1" applyNumberFormat="1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2" fontId="3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quotePrefix="1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/>
      <protection locked="0"/>
    </xf>
    <xf numFmtId="0" fontId="12" fillId="0" borderId="27" xfId="0" applyFont="1" applyBorder="1" applyProtection="1">
      <protection locked="0"/>
    </xf>
    <xf numFmtId="0" fontId="0" fillId="0" borderId="23" xfId="0" applyBorder="1" applyProtection="1"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12" fillId="0" borderId="22" xfId="0" applyFont="1" applyBorder="1" applyProtection="1">
      <protection locked="0"/>
    </xf>
    <xf numFmtId="0" fontId="12" fillId="0" borderId="24" xfId="0" applyFont="1" applyBorder="1" applyProtection="1">
      <protection locked="0"/>
    </xf>
    <xf numFmtId="0" fontId="12" fillId="0" borderId="44" xfId="0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25" xfId="0" applyFont="1" applyBorder="1" applyProtection="1">
      <protection locked="0"/>
    </xf>
    <xf numFmtId="0" fontId="3" fillId="14" borderId="24" xfId="0" quotePrefix="1" applyFont="1" applyFill="1" applyBorder="1" applyProtection="1">
      <protection locked="0"/>
    </xf>
    <xf numFmtId="0" fontId="3" fillId="14" borderId="44" xfId="0" quotePrefix="1" applyFont="1" applyFill="1" applyBorder="1" applyProtection="1">
      <protection locked="0"/>
    </xf>
    <xf numFmtId="0" fontId="58" fillId="2" borderId="24" xfId="0" quotePrefix="1" applyFont="1" applyFill="1" applyBorder="1" applyProtection="1">
      <protection locked="0"/>
    </xf>
    <xf numFmtId="0" fontId="58" fillId="2" borderId="44" xfId="0" quotePrefix="1" applyFont="1" applyFill="1" applyBorder="1" applyProtection="1">
      <protection locked="0"/>
    </xf>
    <xf numFmtId="0" fontId="72" fillId="0" borderId="0" xfId="0" applyFont="1" applyProtection="1">
      <protection locked="0"/>
    </xf>
    <xf numFmtId="0" fontId="2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167" fontId="0" fillId="2" borderId="0" xfId="0" applyNumberFormat="1" applyFill="1" applyAlignment="1" applyProtection="1">
      <alignment horizontal="center"/>
      <protection locked="0"/>
    </xf>
    <xf numFmtId="0" fontId="35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11" fillId="2" borderId="0" xfId="0" applyFont="1" applyFill="1" applyProtection="1">
      <protection locked="0"/>
    </xf>
    <xf numFmtId="167" fontId="0" fillId="2" borderId="0" xfId="0" applyNumberFormat="1" applyFill="1" applyProtection="1">
      <protection locked="0"/>
    </xf>
    <xf numFmtId="2" fontId="11" fillId="2" borderId="0" xfId="0" applyNumberFormat="1" applyFont="1" applyFill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left"/>
      <protection locked="0"/>
    </xf>
    <xf numFmtId="0" fontId="58" fillId="0" borderId="38" xfId="0" applyFont="1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25" borderId="0" xfId="0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25" borderId="0" xfId="0" applyFill="1" applyProtection="1"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" fontId="0" fillId="0" borderId="19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8" fillId="0" borderId="0" xfId="0" applyFont="1" applyProtection="1">
      <protection locked="0"/>
    </xf>
    <xf numFmtId="11" fontId="0" fillId="0" borderId="0" xfId="0" applyNumberFormat="1" applyProtection="1">
      <protection locked="0"/>
    </xf>
    <xf numFmtId="0" fontId="67" fillId="2" borderId="0" xfId="0" applyFont="1" applyFill="1" applyProtection="1">
      <protection locked="0"/>
    </xf>
    <xf numFmtId="0" fontId="19" fillId="0" borderId="0" xfId="0" applyFont="1" applyProtection="1">
      <protection locked="0"/>
    </xf>
    <xf numFmtId="0" fontId="58" fillId="2" borderId="0" xfId="0" applyFont="1" applyFill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13" borderId="0" xfId="0" applyFill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58" fillId="0" borderId="0" xfId="0" applyFont="1" applyProtection="1">
      <protection locked="0"/>
    </xf>
    <xf numFmtId="0" fontId="58" fillId="15" borderId="0" xfId="0" applyFont="1" applyFill="1" applyProtection="1">
      <protection locked="0"/>
    </xf>
    <xf numFmtId="0" fontId="11" fillId="15" borderId="0" xfId="0" applyFont="1" applyFill="1" applyProtection="1">
      <protection locked="0"/>
    </xf>
    <xf numFmtId="2" fontId="0" fillId="0" borderId="19" xfId="0" applyNumberFormat="1" applyBorder="1" applyAlignment="1" applyProtection="1">
      <alignment horizontal="center" vertical="center"/>
      <protection locked="0"/>
    </xf>
    <xf numFmtId="0" fontId="11" fillId="25" borderId="0" xfId="0" applyFont="1" applyFill="1" applyProtection="1">
      <protection locked="0"/>
    </xf>
    <xf numFmtId="0" fontId="3" fillId="25" borderId="0" xfId="0" applyFont="1" applyFill="1" applyProtection="1">
      <protection locked="0"/>
    </xf>
    <xf numFmtId="175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0" fontId="0" fillId="15" borderId="0" xfId="0" applyFill="1" applyProtection="1"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1" fontId="0" fillId="0" borderId="70" xfId="0" applyNumberFormat="1" applyBorder="1" applyAlignment="1" applyProtection="1">
      <alignment horizontal="center" vertical="center"/>
      <protection locked="0"/>
    </xf>
    <xf numFmtId="2" fontId="0" fillId="0" borderId="70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0" fillId="26" borderId="13" xfId="0" applyFill="1" applyBorder="1" applyProtection="1">
      <protection locked="0"/>
    </xf>
    <xf numFmtId="0" fontId="6" fillId="0" borderId="13" xfId="0" applyFont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0" borderId="13" xfId="0" applyBorder="1" applyProtection="1"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0" fillId="26" borderId="13" xfId="0" applyFill="1" applyBorder="1" applyAlignment="1" applyProtection="1">
      <alignment horizontal="left"/>
      <protection locked="0"/>
    </xf>
    <xf numFmtId="0" fontId="3" fillId="0" borderId="13" xfId="0" applyFont="1" applyBorder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2" fontId="0" fillId="0" borderId="0" xfId="0" applyNumberFormat="1" applyAlignment="1" applyProtection="1">
      <alignment wrapText="1"/>
      <protection locked="0"/>
    </xf>
    <xf numFmtId="0" fontId="36" fillId="0" borderId="0" xfId="0" applyFont="1" applyAlignment="1" applyProtection="1">
      <alignment horizontal="center" wrapText="1"/>
      <protection locked="0"/>
    </xf>
    <xf numFmtId="1" fontId="0" fillId="0" borderId="0" xfId="0" applyNumberFormat="1" applyAlignment="1" applyProtection="1">
      <alignment horizontal="center" wrapText="1"/>
      <protection locked="0"/>
    </xf>
    <xf numFmtId="1" fontId="12" fillId="0" borderId="0" xfId="0" applyNumberFormat="1" applyFont="1" applyAlignment="1" applyProtection="1">
      <alignment horizontal="center" wrapText="1"/>
      <protection locked="0"/>
    </xf>
    <xf numFmtId="169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25" fillId="0" borderId="0" xfId="0" applyFont="1" applyAlignment="1" applyProtection="1">
      <alignment wrapText="1"/>
      <protection locked="0"/>
    </xf>
    <xf numFmtId="171" fontId="0" fillId="0" borderId="0" xfId="0" applyNumberFormat="1" applyProtection="1">
      <protection locked="0"/>
    </xf>
    <xf numFmtId="0" fontId="0" fillId="0" borderId="0" xfId="0" quotePrefix="1" applyProtection="1">
      <protection locked="0"/>
    </xf>
    <xf numFmtId="164" fontId="0" fillId="0" borderId="0" xfId="0" applyNumberFormat="1" applyProtection="1">
      <protection locked="0"/>
    </xf>
    <xf numFmtId="1" fontId="32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3" fontId="3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73" xfId="0" applyBorder="1" applyProtection="1">
      <protection locked="0"/>
    </xf>
    <xf numFmtId="0" fontId="27" fillId="0" borderId="40" xfId="0" applyFont="1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6" fillId="0" borderId="77" xfId="0" applyFont="1" applyBorder="1" applyProtection="1">
      <protection locked="0"/>
    </xf>
    <xf numFmtId="0" fontId="0" fillId="0" borderId="78" xfId="0" applyBorder="1" applyAlignment="1" applyProtection="1">
      <alignment horizontal="center"/>
      <protection locked="0"/>
    </xf>
    <xf numFmtId="0" fontId="27" fillId="0" borderId="77" xfId="0" applyFont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0" fillId="0" borderId="75" xfId="0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165" fontId="8" fillId="0" borderId="0" xfId="0" applyNumberFormat="1" applyFont="1" applyProtection="1">
      <protection locked="0"/>
    </xf>
    <xf numFmtId="165" fontId="67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1" fillId="6" borderId="0" xfId="0" applyFont="1" applyFill="1" applyProtection="1">
      <protection locked="0"/>
    </xf>
    <xf numFmtId="165" fontId="69" fillId="0" borderId="0" xfId="0" applyNumberFormat="1" applyFont="1" applyProtection="1">
      <protection locked="0"/>
    </xf>
    <xf numFmtId="0" fontId="58" fillId="0" borderId="0" xfId="0" applyFont="1" applyAlignment="1" applyProtection="1">
      <alignment horizontal="right"/>
      <protection locked="0"/>
    </xf>
    <xf numFmtId="0" fontId="67" fillId="0" borderId="0" xfId="0" applyFont="1" applyAlignment="1" applyProtection="1">
      <alignment horizontal="right"/>
      <protection locked="0"/>
    </xf>
    <xf numFmtId="2" fontId="11" fillId="6" borderId="0" xfId="0" applyNumberFormat="1" applyFont="1" applyFill="1" applyProtection="1">
      <protection locked="0"/>
    </xf>
    <xf numFmtId="165" fontId="0" fillId="0" borderId="0" xfId="0" applyNumberFormat="1" applyProtection="1">
      <protection locked="0"/>
    </xf>
    <xf numFmtId="0" fontId="58" fillId="6" borderId="0" xfId="0" applyFont="1" applyFill="1" applyProtection="1">
      <protection locked="0"/>
    </xf>
    <xf numFmtId="0" fontId="67" fillId="6" borderId="0" xfId="0" applyFont="1" applyFill="1" applyProtection="1">
      <protection locked="0"/>
    </xf>
    <xf numFmtId="0" fontId="67" fillId="0" borderId="0" xfId="0" applyFont="1" applyProtection="1">
      <protection locked="0"/>
    </xf>
    <xf numFmtId="165" fontId="11" fillId="2" borderId="0" xfId="0" applyNumberFormat="1" applyFont="1" applyFill="1" applyProtection="1">
      <protection locked="0"/>
    </xf>
    <xf numFmtId="0" fontId="69" fillId="0" borderId="0" xfId="0" applyFont="1" applyProtection="1">
      <protection locked="0"/>
    </xf>
    <xf numFmtId="2" fontId="67" fillId="0" borderId="0" xfId="0" applyNumberFormat="1" applyFont="1" applyProtection="1">
      <protection locked="0"/>
    </xf>
    <xf numFmtId="2" fontId="13" fillId="0" borderId="0" xfId="0" applyNumberFormat="1" applyFont="1" applyProtection="1">
      <protection locked="0"/>
    </xf>
    <xf numFmtId="167" fontId="11" fillId="6" borderId="0" xfId="0" applyNumberFormat="1" applyFont="1" applyFill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2" fontId="69" fillId="0" borderId="0" xfId="0" applyNumberFormat="1" applyFont="1" applyProtection="1">
      <protection locked="0"/>
    </xf>
    <xf numFmtId="2" fontId="8" fillId="0" borderId="0" xfId="0" applyNumberFormat="1" applyFont="1" applyProtection="1">
      <protection locked="0"/>
    </xf>
    <xf numFmtId="2" fontId="58" fillId="6" borderId="0" xfId="0" applyNumberFormat="1" applyFont="1" applyFill="1" applyProtection="1">
      <protection locked="0"/>
    </xf>
    <xf numFmtId="2" fontId="67" fillId="6" borderId="0" xfId="0" applyNumberFormat="1" applyFont="1" applyFill="1" applyProtection="1">
      <protection locked="0"/>
    </xf>
    <xf numFmtId="2" fontId="3" fillId="0" borderId="0" xfId="0" applyNumberFormat="1" applyFont="1" applyProtection="1">
      <protection locked="0"/>
    </xf>
    <xf numFmtId="165" fontId="11" fillId="6" borderId="0" xfId="0" applyNumberFormat="1" applyFont="1" applyFill="1" applyProtection="1">
      <protection locked="0"/>
    </xf>
    <xf numFmtId="169" fontId="13" fillId="0" borderId="0" xfId="0" applyNumberFormat="1" applyFont="1" applyProtection="1">
      <protection locked="0"/>
    </xf>
    <xf numFmtId="174" fontId="13" fillId="4" borderId="0" xfId="0" applyNumberFormat="1" applyFont="1" applyFill="1" applyProtection="1">
      <protection locked="0"/>
    </xf>
    <xf numFmtId="172" fontId="13" fillId="0" borderId="0" xfId="0" applyNumberFormat="1" applyFont="1" applyProtection="1">
      <protection locked="0"/>
    </xf>
    <xf numFmtId="164" fontId="11" fillId="0" borderId="0" xfId="0" applyNumberFormat="1" applyFont="1" applyProtection="1">
      <protection locked="0"/>
    </xf>
    <xf numFmtId="168" fontId="0" fillId="0" borderId="0" xfId="0" applyNumberFormat="1" applyProtection="1">
      <protection locked="0"/>
    </xf>
    <xf numFmtId="174" fontId="11" fillId="0" borderId="0" xfId="0" applyNumberFormat="1" applyFont="1" applyProtection="1">
      <protection locked="0"/>
    </xf>
    <xf numFmtId="172" fontId="11" fillId="0" borderId="0" xfId="0" applyNumberFormat="1" applyFont="1" applyProtection="1">
      <protection locked="0"/>
    </xf>
    <xf numFmtId="10" fontId="11" fillId="0" borderId="0" xfId="0" applyNumberFormat="1" applyFont="1" applyProtection="1">
      <protection locked="0"/>
    </xf>
    <xf numFmtId="0" fontId="11" fillId="14" borderId="0" xfId="0" applyFont="1" applyFill="1" applyProtection="1">
      <protection locked="0"/>
    </xf>
    <xf numFmtId="0" fontId="27" fillId="0" borderId="30" xfId="0" applyFon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27" fillId="0" borderId="28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170" fontId="67" fillId="0" borderId="0" xfId="0" applyNumberFormat="1" applyFont="1" applyProtection="1">
      <protection locked="0"/>
    </xf>
    <xf numFmtId="165" fontId="58" fillId="0" borderId="0" xfId="0" applyNumberFormat="1" applyFont="1" applyProtection="1">
      <protection locked="0"/>
    </xf>
    <xf numFmtId="0" fontId="3" fillId="14" borderId="0" xfId="0" applyFont="1" applyFill="1" applyProtection="1">
      <protection locked="0"/>
    </xf>
    <xf numFmtId="0" fontId="58" fillId="14" borderId="0" xfId="0" applyFont="1" applyFill="1" applyProtection="1">
      <protection locked="0"/>
    </xf>
    <xf numFmtId="0" fontId="67" fillId="14" borderId="0" xfId="0" applyFont="1" applyFill="1" applyProtection="1">
      <protection locked="0"/>
    </xf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70" fillId="0" borderId="0" xfId="0" applyFont="1" applyProtection="1">
      <protection locked="0"/>
    </xf>
    <xf numFmtId="0" fontId="18" fillId="0" borderId="0" xfId="0" applyFont="1" applyProtection="1">
      <protection locked="0"/>
    </xf>
    <xf numFmtId="165" fontId="18" fillId="0" borderId="0" xfId="0" applyNumberFormat="1" applyFont="1" applyProtection="1">
      <protection locked="0"/>
    </xf>
    <xf numFmtId="165" fontId="13" fillId="0" borderId="0" xfId="0" applyNumberFormat="1" applyFont="1" applyProtection="1">
      <protection locked="0"/>
    </xf>
    <xf numFmtId="2" fontId="18" fillId="0" borderId="0" xfId="0" applyNumberFormat="1" applyFont="1" applyProtection="1">
      <protection locked="0"/>
    </xf>
    <xf numFmtId="167" fontId="13" fillId="4" borderId="0" xfId="0" applyNumberFormat="1" applyFont="1" applyFill="1" applyProtection="1">
      <protection locked="0"/>
    </xf>
    <xf numFmtId="165" fontId="11" fillId="0" borderId="0" xfId="0" applyNumberFormat="1" applyFont="1" applyProtection="1">
      <protection locked="0"/>
    </xf>
    <xf numFmtId="167" fontId="11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2" fontId="21" fillId="0" borderId="0" xfId="0" applyNumberFormat="1" applyFont="1" applyProtection="1">
      <protection locked="0"/>
    </xf>
    <xf numFmtId="167" fontId="13" fillId="0" borderId="0" xfId="0" applyNumberFormat="1" applyFont="1" applyProtection="1">
      <protection locked="0"/>
    </xf>
    <xf numFmtId="165" fontId="12" fillId="2" borderId="0" xfId="0" applyNumberFormat="1" applyFont="1" applyFill="1" applyProtection="1">
      <protection locked="0"/>
    </xf>
    <xf numFmtId="1" fontId="13" fillId="0" borderId="0" xfId="0" applyNumberFormat="1" applyFont="1" applyProtection="1">
      <protection locked="0"/>
    </xf>
    <xf numFmtId="0" fontId="0" fillId="0" borderId="5" xfId="0" applyBorder="1" applyProtection="1">
      <protection locked="0"/>
    </xf>
    <xf numFmtId="0" fontId="37" fillId="0" borderId="36" xfId="0" applyFont="1" applyBorder="1" applyProtection="1">
      <protection locked="0"/>
    </xf>
    <xf numFmtId="0" fontId="37" fillId="0" borderId="40" xfId="0" applyFont="1" applyBorder="1" applyProtection="1">
      <protection locked="0"/>
    </xf>
    <xf numFmtId="1" fontId="0" fillId="6" borderId="0" xfId="0" applyNumberFormat="1" applyFill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0" fillId="6" borderId="0" xfId="0" applyFill="1" applyProtection="1">
      <protection locked="0"/>
    </xf>
    <xf numFmtId="2" fontId="0" fillId="6" borderId="0" xfId="0" applyNumberFormat="1" applyFill="1" applyProtection="1">
      <protection locked="0"/>
    </xf>
    <xf numFmtId="165" fontId="0" fillId="6" borderId="0" xfId="0" applyNumberFormat="1" applyFill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0" fillId="20" borderId="13" xfId="0" applyFill="1" applyBorder="1" applyAlignment="1" applyProtection="1">
      <alignment horizontal="center" vertical="center" wrapText="1"/>
      <protection locked="0"/>
    </xf>
    <xf numFmtId="0" fontId="0" fillId="20" borderId="13" xfId="0" applyFill="1" applyBorder="1" applyAlignment="1" applyProtection="1">
      <alignment horizontal="center" vertical="center"/>
      <protection locked="0"/>
    </xf>
    <xf numFmtId="0" fontId="3" fillId="20" borderId="13" xfId="0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Alignment="1" applyProtection="1">
      <alignment horizontal="center"/>
      <protection locked="0"/>
    </xf>
    <xf numFmtId="0" fontId="36" fillId="20" borderId="13" xfId="0" applyFont="1" applyFill="1" applyBorder="1" applyAlignment="1" applyProtection="1">
      <alignment horizontal="center" vertical="center"/>
      <protection locked="0"/>
    </xf>
    <xf numFmtId="0" fontId="36" fillId="20" borderId="13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2" fontId="0" fillId="6" borderId="13" xfId="0" applyNumberFormat="1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166" fontId="0" fillId="0" borderId="13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67" fontId="0" fillId="0" borderId="1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0" borderId="13" xfId="0" applyFill="1" applyBorder="1" applyAlignment="1" applyProtection="1">
      <alignment horizontal="center" wrapText="1"/>
      <protection locked="0"/>
    </xf>
    <xf numFmtId="0" fontId="0" fillId="20" borderId="13" xfId="0" applyFill="1" applyBorder="1" applyProtection="1">
      <protection locked="0"/>
    </xf>
    <xf numFmtId="0" fontId="0" fillId="20" borderId="13" xfId="0" applyFill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6" fillId="20" borderId="13" xfId="0" applyFont="1" applyFill="1" applyBorder="1" applyAlignment="1" applyProtection="1">
      <alignment horizontal="center"/>
      <protection locked="0"/>
    </xf>
    <xf numFmtId="0" fontId="3" fillId="20" borderId="13" xfId="0" applyFont="1" applyFill="1" applyBorder="1" applyAlignment="1" applyProtection="1">
      <alignment horizontal="center"/>
      <protection locked="0"/>
    </xf>
    <xf numFmtId="167" fontId="3" fillId="0" borderId="13" xfId="0" applyNumberFormat="1" applyFon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  <protection locked="0"/>
    </xf>
    <xf numFmtId="0" fontId="36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63" fillId="0" borderId="0" xfId="0" applyFont="1" applyProtection="1">
      <protection locked="0"/>
    </xf>
    <xf numFmtId="0" fontId="62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167" fontId="0" fillId="0" borderId="0" xfId="0" applyNumberFormat="1" applyProtection="1">
      <protection locked="0"/>
    </xf>
    <xf numFmtId="0" fontId="3" fillId="0" borderId="38" xfId="0" applyFont="1" applyBorder="1" applyAlignment="1" applyProtection="1">
      <alignment horizontal="center"/>
      <protection locked="0"/>
    </xf>
    <xf numFmtId="165" fontId="3" fillId="6" borderId="0" xfId="0" applyNumberFormat="1" applyFont="1" applyFill="1" applyProtection="1">
      <protection locked="0"/>
    </xf>
    <xf numFmtId="0" fontId="36" fillId="20" borderId="0" xfId="0" applyFont="1" applyFill="1" applyAlignment="1" applyProtection="1">
      <alignment horizontal="center" vertical="center" wrapText="1"/>
      <protection locked="0"/>
    </xf>
    <xf numFmtId="167" fontId="3" fillId="6" borderId="13" xfId="0" applyNumberFormat="1" applyFont="1" applyFill="1" applyBorder="1" applyAlignment="1" applyProtection="1">
      <alignment horizontal="center"/>
      <protection locked="0"/>
    </xf>
    <xf numFmtId="165" fontId="0" fillId="6" borderId="13" xfId="0" applyNumberFormat="1" applyFill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14" borderId="0" xfId="0" applyFill="1" applyProtection="1">
      <protection locked="0"/>
    </xf>
    <xf numFmtId="0" fontId="36" fillId="20" borderId="13" xfId="0" applyFont="1" applyFill="1" applyBorder="1" applyAlignment="1" applyProtection="1">
      <alignment horizontal="center" wrapText="1"/>
      <protection locked="0"/>
    </xf>
    <xf numFmtId="2" fontId="3" fillId="6" borderId="13" xfId="0" applyNumberFormat="1" applyFont="1" applyFill="1" applyBorder="1" applyAlignment="1" applyProtection="1">
      <alignment horizontal="center"/>
      <protection locked="0"/>
    </xf>
    <xf numFmtId="0" fontId="36" fillId="0" borderId="13" xfId="0" applyFon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2" fontId="0" fillId="19" borderId="0" xfId="0" applyNumberFormat="1" applyFill="1" applyAlignment="1" applyProtection="1">
      <alignment horizontal="center"/>
      <protection locked="0"/>
    </xf>
    <xf numFmtId="0" fontId="3" fillId="6" borderId="0" xfId="0" applyFont="1" applyFill="1" applyProtection="1">
      <protection locked="0"/>
    </xf>
    <xf numFmtId="167" fontId="0" fillId="15" borderId="13" xfId="0" applyNumberFormat="1" applyFill="1" applyBorder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1" fontId="0" fillId="2" borderId="0" xfId="0" applyNumberFormat="1" applyFill="1" applyProtection="1">
      <protection locked="0"/>
    </xf>
    <xf numFmtId="164" fontId="3" fillId="2" borderId="0" xfId="0" applyNumberFormat="1" applyFont="1" applyFill="1" applyProtection="1">
      <protection locked="0"/>
    </xf>
    <xf numFmtId="2" fontId="3" fillId="9" borderId="0" xfId="0" applyNumberFormat="1" applyFont="1" applyFill="1" applyProtection="1">
      <protection locked="0"/>
    </xf>
    <xf numFmtId="0" fontId="3" fillId="14" borderId="0" xfId="0" applyFont="1" applyFill="1" applyAlignment="1" applyProtection="1">
      <alignment horizontal="right"/>
      <protection locked="0"/>
    </xf>
    <xf numFmtId="0" fontId="51" fillId="0" borderId="0" xfId="0" applyFont="1" applyAlignment="1" applyProtection="1">
      <alignment horizontal="right"/>
      <protection locked="0"/>
    </xf>
    <xf numFmtId="167" fontId="0" fillId="6" borderId="0" xfId="0" applyNumberFormat="1" applyFill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167" fontId="3" fillId="6" borderId="0" xfId="0" applyNumberFormat="1" applyFont="1" applyFill="1" applyProtection="1">
      <protection locked="0"/>
    </xf>
    <xf numFmtId="0" fontId="0" fillId="14" borderId="0" xfId="0" applyFill="1" applyAlignment="1" applyProtection="1">
      <alignment horizontal="center"/>
      <protection locked="0"/>
    </xf>
    <xf numFmtId="0" fontId="0" fillId="14" borderId="0" xfId="0" applyFill="1" applyAlignment="1" applyProtection="1">
      <alignment horizontal="right"/>
      <protection locked="0"/>
    </xf>
    <xf numFmtId="0" fontId="37" fillId="0" borderId="1" xfId="0" applyFont="1" applyBorder="1" applyProtection="1">
      <protection locked="0"/>
    </xf>
    <xf numFmtId="170" fontId="0" fillId="0" borderId="0" xfId="0" applyNumberFormat="1" applyProtection="1">
      <protection locked="0"/>
    </xf>
    <xf numFmtId="170" fontId="0" fillId="0" borderId="0" xfId="0" applyNumberFormat="1" applyAlignment="1" applyProtection="1">
      <alignment horizontal="right"/>
      <protection locked="0"/>
    </xf>
    <xf numFmtId="0" fontId="58" fillId="2" borderId="0" xfId="0" applyFont="1" applyFill="1" applyAlignment="1" applyProtection="1">
      <alignment horizontal="center"/>
      <protection locked="0"/>
    </xf>
    <xf numFmtId="2" fontId="58" fillId="0" borderId="0" xfId="0" applyNumberFormat="1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167" fontId="3" fillId="2" borderId="0" xfId="0" applyNumberFormat="1" applyFon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vertical="top" wrapText="1"/>
      <protection locked="0"/>
    </xf>
    <xf numFmtId="0" fontId="30" fillId="0" borderId="0" xfId="0" applyFont="1" applyAlignment="1" applyProtection="1">
      <alignment horizontal="left" wrapText="1"/>
      <protection locked="0"/>
    </xf>
    <xf numFmtId="0" fontId="30" fillId="0" borderId="0" xfId="0" applyFont="1" applyProtection="1">
      <protection locked="0"/>
    </xf>
    <xf numFmtId="1" fontId="30" fillId="0" borderId="0" xfId="0" applyNumberFormat="1" applyFont="1" applyProtection="1"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" fillId="20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0" fillId="0" borderId="13" xfId="0" applyNumberFormat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14" borderId="0" xfId="0" applyFill="1" applyAlignment="1" applyProtection="1">
      <alignment horizontal="center" vertical="center"/>
      <protection locked="0"/>
    </xf>
    <xf numFmtId="0" fontId="3" fillId="14" borderId="13" xfId="0" applyFont="1" applyFill="1" applyBorder="1" applyAlignment="1" applyProtection="1">
      <alignment horizontal="center" vertical="center"/>
      <protection locked="0"/>
    </xf>
    <xf numFmtId="164" fontId="0" fillId="14" borderId="13" xfId="0" applyNumberFormat="1" applyFill="1" applyBorder="1" applyAlignment="1" applyProtection="1">
      <alignment horizontal="center" vertical="center"/>
      <protection locked="0"/>
    </xf>
    <xf numFmtId="0" fontId="0" fillId="14" borderId="13" xfId="0" applyFill="1" applyBorder="1" applyAlignment="1" applyProtection="1">
      <alignment horizontal="center" vertical="center"/>
      <protection locked="0"/>
    </xf>
    <xf numFmtId="2" fontId="0" fillId="0" borderId="13" xfId="0" applyNumberFormat="1" applyBorder="1" applyProtection="1">
      <protection locked="0"/>
    </xf>
    <xf numFmtId="1" fontId="0" fillId="14" borderId="13" xfId="0" applyNumberFormat="1" applyFill="1" applyBorder="1" applyAlignment="1" applyProtection="1">
      <alignment horizontal="center" vertical="center"/>
      <protection locked="0"/>
    </xf>
    <xf numFmtId="0" fontId="3" fillId="14" borderId="13" xfId="0" applyFont="1" applyFill="1" applyBorder="1" applyProtection="1">
      <protection locked="0"/>
    </xf>
    <xf numFmtId="164" fontId="0" fillId="14" borderId="13" xfId="0" applyNumberFormat="1" applyFill="1" applyBorder="1" applyProtection="1">
      <protection locked="0"/>
    </xf>
    <xf numFmtId="0" fontId="0" fillId="14" borderId="13" xfId="0" applyFill="1" applyBorder="1" applyProtection="1">
      <protection locked="0"/>
    </xf>
    <xf numFmtId="0" fontId="0" fillId="22" borderId="0" xfId="0" applyFill="1" applyProtection="1">
      <protection locked="0"/>
    </xf>
    <xf numFmtId="0" fontId="3" fillId="15" borderId="0" xfId="0" applyFont="1" applyFill="1" applyAlignment="1" applyProtection="1">
      <alignment horizontal="right"/>
      <protection locked="0"/>
    </xf>
    <xf numFmtId="0" fontId="6" fillId="14" borderId="0" xfId="0" applyFont="1" applyFill="1" applyAlignment="1" applyProtection="1">
      <alignment horizontal="left"/>
      <protection locked="0"/>
    </xf>
    <xf numFmtId="179" fontId="3" fillId="24" borderId="0" xfId="0" applyNumberFormat="1" applyFont="1" applyFill="1" applyProtection="1">
      <protection locked="0"/>
    </xf>
    <xf numFmtId="0" fontId="30" fillId="0" borderId="66" xfId="0" applyFont="1" applyBorder="1" applyAlignment="1" applyProtection="1">
      <alignment horizontal="center" wrapText="1"/>
      <protection locked="0"/>
    </xf>
    <xf numFmtId="0" fontId="59" fillId="0" borderId="0" xfId="0" applyFont="1" applyAlignment="1" applyProtection="1">
      <alignment horizontal="center" wrapText="1"/>
      <protection locked="0"/>
    </xf>
    <xf numFmtId="0" fontId="59" fillId="0" borderId="31" xfId="0" applyFont="1" applyBorder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center"/>
      <protection locked="0"/>
    </xf>
    <xf numFmtId="1" fontId="0" fillId="6" borderId="0" xfId="0" applyNumberFormat="1" applyFill="1" applyAlignment="1" applyProtection="1">
      <alignment horizontal="center"/>
      <protection locked="0"/>
    </xf>
    <xf numFmtId="167" fontId="0" fillId="6" borderId="0" xfId="0" applyNumberFormat="1" applyFill="1" applyAlignment="1" applyProtection="1">
      <alignment horizontal="center"/>
      <protection locked="0"/>
    </xf>
    <xf numFmtId="0" fontId="58" fillId="6" borderId="0" xfId="0" applyFont="1" applyFill="1" applyAlignment="1" applyProtection="1">
      <alignment horizontal="center"/>
      <protection locked="0"/>
    </xf>
    <xf numFmtId="167" fontId="58" fillId="0" borderId="0" xfId="0" applyNumberFormat="1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1" fontId="3" fillId="6" borderId="13" xfId="0" applyNumberFormat="1" applyFont="1" applyFill="1" applyBorder="1" applyAlignment="1" applyProtection="1">
      <alignment horizontal="center"/>
      <protection locked="0"/>
    </xf>
    <xf numFmtId="165" fontId="27" fillId="0" borderId="13" xfId="0" applyNumberFormat="1" applyFont="1" applyBorder="1" applyAlignment="1" applyProtection="1">
      <alignment horizontal="center"/>
      <protection locked="0"/>
    </xf>
    <xf numFmtId="167" fontId="58" fillId="6" borderId="0" xfId="0" applyNumberFormat="1" applyFont="1" applyFill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1" fontId="3" fillId="24" borderId="13" xfId="0" applyNumberFormat="1" applyFont="1" applyFill="1" applyBorder="1" applyAlignment="1" applyProtection="1">
      <alignment horizontal="center"/>
      <protection locked="0"/>
    </xf>
    <xf numFmtId="0" fontId="3" fillId="25" borderId="13" xfId="0" applyFont="1" applyFill="1" applyBorder="1" applyAlignment="1" applyProtection="1">
      <alignment horizontal="center"/>
      <protection locked="0"/>
    </xf>
    <xf numFmtId="167" fontId="3" fillId="24" borderId="13" xfId="0" applyNumberFormat="1" applyFont="1" applyFill="1" applyBorder="1" applyAlignment="1" applyProtection="1">
      <alignment horizontal="center"/>
      <protection locked="0"/>
    </xf>
    <xf numFmtId="0" fontId="58" fillId="0" borderId="0" xfId="0" applyFont="1" applyAlignment="1" applyProtection="1">
      <alignment horizontal="left" wrapText="1"/>
      <protection locked="0"/>
    </xf>
    <xf numFmtId="1" fontId="58" fillId="6" borderId="0" xfId="0" applyNumberFormat="1" applyFont="1" applyFill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 wrapText="1"/>
      <protection locked="0"/>
    </xf>
    <xf numFmtId="165" fontId="3" fillId="6" borderId="13" xfId="0" applyNumberFormat="1" applyFon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165" fontId="0" fillId="0" borderId="13" xfId="0" applyNumberFormat="1" applyBorder="1" applyProtection="1">
      <protection locked="0"/>
    </xf>
    <xf numFmtId="165" fontId="0" fillId="0" borderId="13" xfId="0" applyNumberFormat="1" applyBorder="1" applyAlignment="1" applyProtection="1">
      <alignment horizontal="center"/>
      <protection locked="0"/>
    </xf>
    <xf numFmtId="178" fontId="0" fillId="0" borderId="0" xfId="0" applyNumberFormat="1" applyProtection="1">
      <protection locked="0"/>
    </xf>
    <xf numFmtId="0" fontId="71" fillId="0" borderId="0" xfId="0" applyFont="1" applyProtection="1">
      <protection locked="0"/>
    </xf>
    <xf numFmtId="0" fontId="3" fillId="0" borderId="66" xfId="0" applyFont="1" applyBorder="1" applyAlignment="1" applyProtection="1">
      <alignment horizontal="center" wrapText="1"/>
      <protection locked="0"/>
    </xf>
    <xf numFmtId="0" fontId="36" fillId="0" borderId="31" xfId="0" applyFont="1" applyBorder="1" applyAlignment="1" applyProtection="1">
      <alignment horizontal="center" wrapText="1"/>
      <protection locked="0"/>
    </xf>
    <xf numFmtId="1" fontId="3" fillId="15" borderId="13" xfId="0" applyNumberFormat="1" applyFont="1" applyFill="1" applyBorder="1" applyAlignment="1" applyProtection="1">
      <alignment horizontal="center"/>
      <protection locked="0"/>
    </xf>
    <xf numFmtId="0" fontId="3" fillId="15" borderId="13" xfId="0" applyFont="1" applyFill="1" applyBorder="1" applyAlignment="1" applyProtection="1">
      <alignment horizontal="center"/>
      <protection locked="0"/>
    </xf>
    <xf numFmtId="167" fontId="3" fillId="15" borderId="13" xfId="0" applyNumberFormat="1" applyFont="1" applyFill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165" fontId="3" fillId="0" borderId="13" xfId="0" applyNumberFormat="1" applyFont="1" applyBorder="1" applyAlignment="1" applyProtection="1">
      <alignment horizontal="center"/>
      <protection locked="0"/>
    </xf>
    <xf numFmtId="167" fontId="3" fillId="0" borderId="0" xfId="0" applyNumberFormat="1" applyFont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165" fontId="3" fillId="0" borderId="21" xfId="0" applyNumberFormat="1" applyFont="1" applyBorder="1" applyAlignment="1" applyProtection="1">
      <alignment horizontal="center"/>
      <protection locked="0"/>
    </xf>
    <xf numFmtId="1" fontId="3" fillId="0" borderId="21" xfId="0" applyNumberFormat="1" applyFont="1" applyBorder="1" applyAlignment="1" applyProtection="1">
      <alignment horizontal="center"/>
      <protection locked="0"/>
    </xf>
    <xf numFmtId="167" fontId="3" fillId="0" borderId="23" xfId="0" applyNumberFormat="1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165" fontId="3" fillId="0" borderId="11" xfId="0" applyNumberFormat="1" applyFont="1" applyBorder="1" applyAlignment="1" applyProtection="1">
      <alignment horizontal="center"/>
      <protection locked="0"/>
    </xf>
    <xf numFmtId="1" fontId="3" fillId="0" borderId="11" xfId="0" applyNumberFormat="1" applyFont="1" applyBorder="1" applyAlignment="1" applyProtection="1">
      <alignment horizontal="center"/>
      <protection locked="0"/>
    </xf>
    <xf numFmtId="167" fontId="3" fillId="0" borderId="22" xfId="0" applyNumberFormat="1" applyFont="1" applyBorder="1" applyAlignment="1" applyProtection="1">
      <alignment horizontal="center"/>
      <protection locked="0"/>
    </xf>
    <xf numFmtId="167" fontId="3" fillId="0" borderId="0" xfId="0" applyNumberFormat="1" applyFont="1" applyProtection="1">
      <protection locked="0"/>
    </xf>
    <xf numFmtId="165" fontId="3" fillId="0" borderId="12" xfId="0" applyNumberFormat="1" applyFont="1" applyBorder="1" applyProtection="1">
      <protection locked="0"/>
    </xf>
    <xf numFmtId="1" fontId="3" fillId="0" borderId="44" xfId="0" applyNumberFormat="1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167" fontId="3" fillId="0" borderId="12" xfId="0" applyNumberFormat="1" applyFont="1" applyBorder="1" applyProtection="1">
      <protection locked="0"/>
    </xf>
    <xf numFmtId="165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0" fillId="0" borderId="41" xfId="0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" fontId="13" fillId="0" borderId="0" xfId="0" applyNumberFormat="1" applyFon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2" fontId="67" fillId="0" borderId="0" xfId="0" applyNumberFormat="1" applyFont="1" applyAlignment="1" applyProtection="1">
      <alignment horizontal="left"/>
      <protection locked="0"/>
    </xf>
    <xf numFmtId="165" fontId="67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6" borderId="0" xfId="0" quotePrefix="1" applyFill="1" applyProtection="1">
      <protection locked="0"/>
    </xf>
    <xf numFmtId="2" fontId="11" fillId="0" borderId="0" xfId="0" applyNumberFormat="1" applyFont="1" applyAlignment="1" applyProtection="1">
      <alignment horizontal="left"/>
      <protection locked="0"/>
    </xf>
    <xf numFmtId="4" fontId="67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centerContinuous"/>
      <protection locked="0"/>
    </xf>
    <xf numFmtId="164" fontId="13" fillId="0" borderId="0" xfId="0" applyNumberFormat="1" applyFont="1" applyAlignment="1" applyProtection="1">
      <alignment horizontal="left"/>
      <protection locked="0"/>
    </xf>
    <xf numFmtId="168" fontId="25" fillId="0" borderId="0" xfId="0" applyNumberFormat="1" applyFont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164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164" fontId="0" fillId="14" borderId="0" xfId="0" applyNumberFormat="1" applyFill="1" applyProtection="1">
      <protection locked="0"/>
    </xf>
    <xf numFmtId="0" fontId="0" fillId="6" borderId="0" xfId="0" applyFill="1" applyAlignment="1" applyProtection="1">
      <alignment horizontal="right"/>
      <protection locked="0"/>
    </xf>
    <xf numFmtId="167" fontId="0" fillId="6" borderId="0" xfId="0" applyNumberFormat="1" applyFill="1" applyAlignment="1" applyProtection="1">
      <alignment horizontal="right"/>
      <protection locked="0"/>
    </xf>
    <xf numFmtId="2" fontId="0" fillId="4" borderId="0" xfId="0" applyNumberFormat="1" applyFill="1" applyProtection="1">
      <protection locked="0"/>
    </xf>
    <xf numFmtId="0" fontId="3" fillId="0" borderId="0" xfId="3" applyFont="1" applyProtection="1">
      <protection locked="0"/>
    </xf>
    <xf numFmtId="0" fontId="3" fillId="0" borderId="0" xfId="3" applyFont="1" applyAlignment="1" applyProtection="1">
      <alignment horizontal="center"/>
      <protection locked="0"/>
    </xf>
    <xf numFmtId="0" fontId="3" fillId="0" borderId="0" xfId="3" applyFont="1" applyAlignment="1" applyProtection="1">
      <alignment horizontal="left"/>
      <protection locked="0"/>
    </xf>
    <xf numFmtId="0" fontId="25" fillId="0" borderId="0" xfId="3" applyFont="1" applyProtection="1">
      <protection locked="0"/>
    </xf>
    <xf numFmtId="0" fontId="6" fillId="0" borderId="0" xfId="3" applyFont="1" applyProtection="1">
      <protection locked="0"/>
    </xf>
    <xf numFmtId="0" fontId="3" fillId="0" borderId="0" xfId="3" applyFont="1" applyAlignment="1" applyProtection="1">
      <alignment wrapText="1"/>
      <protection locked="0"/>
    </xf>
    <xf numFmtId="0" fontId="3" fillId="0" borderId="1" xfId="3" applyFont="1" applyBorder="1" applyProtection="1">
      <protection locked="0"/>
    </xf>
    <xf numFmtId="0" fontId="3" fillId="0" borderId="41" xfId="3" applyFont="1" applyBorder="1" applyProtection="1">
      <protection locked="0"/>
    </xf>
    <xf numFmtId="0" fontId="6" fillId="0" borderId="40" xfId="3" applyFont="1" applyBorder="1" applyProtection="1">
      <protection locked="0"/>
    </xf>
    <xf numFmtId="0" fontId="3" fillId="0" borderId="38" xfId="3" applyFont="1" applyBorder="1" applyAlignment="1" applyProtection="1">
      <alignment horizontal="center"/>
      <protection locked="0"/>
    </xf>
    <xf numFmtId="0" fontId="8" fillId="0" borderId="0" xfId="3" applyFont="1" applyProtection="1">
      <protection locked="0"/>
    </xf>
    <xf numFmtId="0" fontId="3" fillId="0" borderId="0" xfId="3" applyFont="1" applyAlignment="1" applyProtection="1">
      <alignment horizontal="left" wrapText="1"/>
      <protection locked="0"/>
    </xf>
    <xf numFmtId="14" fontId="3" fillId="0" borderId="0" xfId="3" applyNumberFormat="1" applyFont="1" applyProtection="1">
      <protection locked="0"/>
    </xf>
    <xf numFmtId="0" fontId="3" fillId="4" borderId="0" xfId="3" applyFont="1" applyFill="1" applyProtection="1">
      <protection locked="0"/>
    </xf>
    <xf numFmtId="2" fontId="3" fillId="4" borderId="0" xfId="3" applyNumberFormat="1" applyFont="1" applyFill="1" applyProtection="1">
      <protection locked="0"/>
    </xf>
    <xf numFmtId="0" fontId="3" fillId="13" borderId="0" xfId="3" applyFont="1" applyFill="1" applyProtection="1">
      <protection locked="0"/>
    </xf>
    <xf numFmtId="2" fontId="3" fillId="0" borderId="0" xfId="3" applyNumberFormat="1" applyFont="1" applyProtection="1">
      <protection locked="0"/>
    </xf>
    <xf numFmtId="0" fontId="3" fillId="14" borderId="0" xfId="3" applyFont="1" applyFill="1" applyProtection="1">
      <protection locked="0"/>
    </xf>
    <xf numFmtId="0" fontId="25" fillId="0" borderId="0" xfId="3" applyFont="1" applyAlignment="1" applyProtection="1">
      <alignment wrapText="1"/>
      <protection locked="0"/>
    </xf>
    <xf numFmtId="0" fontId="58" fillId="24" borderId="0" xfId="0" applyFont="1" applyFill="1" applyProtection="1">
      <protection locked="0"/>
    </xf>
    <xf numFmtId="167" fontId="3" fillId="2" borderId="0" xfId="0" applyNumberFormat="1" applyFont="1" applyFill="1" applyProtection="1">
      <protection locked="0"/>
    </xf>
    <xf numFmtId="0" fontId="66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1" fontId="6" fillId="0" borderId="0" xfId="0" applyNumberFormat="1" applyFont="1" applyProtection="1">
      <protection locked="0"/>
    </xf>
    <xf numFmtId="0" fontId="63" fillId="0" borderId="0" xfId="0" applyFont="1" applyAlignment="1" applyProtection="1">
      <alignment horizontal="left" vertical="center" indent="5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2" fontId="11" fillId="0" borderId="0" xfId="0" applyNumberFormat="1" applyFont="1" applyProtection="1">
      <protection locked="0"/>
    </xf>
    <xf numFmtId="0" fontId="3" fillId="0" borderId="26" xfId="0" applyFont="1" applyBorder="1" applyProtection="1">
      <protection locked="0"/>
    </xf>
    <xf numFmtId="0" fontId="3" fillId="0" borderId="25" xfId="0" applyFont="1" applyBorder="1" applyProtection="1">
      <protection locked="0"/>
    </xf>
    <xf numFmtId="167" fontId="11" fillId="0" borderId="0" xfId="0" applyNumberFormat="1" applyFont="1" applyAlignment="1" applyProtection="1">
      <alignment horizontal="center"/>
      <protection locked="0"/>
    </xf>
    <xf numFmtId="2" fontId="0" fillId="0" borderId="3" xfId="0" applyNumberFormat="1" applyBorder="1" applyProtection="1">
      <protection locked="0"/>
    </xf>
    <xf numFmtId="2" fontId="12" fillId="0" borderId="0" xfId="0" applyNumberFormat="1" applyFont="1" applyProtection="1">
      <protection locked="0"/>
    </xf>
    <xf numFmtId="164" fontId="0" fillId="6" borderId="0" xfId="0" applyNumberFormat="1" applyFill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165" fontId="0" fillId="2" borderId="0" xfId="0" applyNumberFormat="1" applyFill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2" fontId="0" fillId="6" borderId="0" xfId="0" applyNumberFormat="1" applyFill="1" applyAlignment="1" applyProtection="1">
      <alignment horizontal="center"/>
      <protection locked="0"/>
    </xf>
    <xf numFmtId="165" fontId="0" fillId="2" borderId="13" xfId="0" applyNumberFormat="1" applyFill="1" applyBorder="1" applyAlignment="1" applyProtection="1">
      <alignment horizontal="center"/>
      <protection locked="0"/>
    </xf>
    <xf numFmtId="0" fontId="3" fillId="6" borderId="13" xfId="0" applyFont="1" applyFill="1" applyBorder="1" applyAlignment="1" applyProtection="1">
      <alignment horizontal="center"/>
      <protection locked="0"/>
    </xf>
    <xf numFmtId="167" fontId="27" fillId="0" borderId="13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65" fontId="58" fillId="6" borderId="0" xfId="0" applyNumberFormat="1" applyFont="1" applyFill="1" applyAlignment="1" applyProtection="1">
      <alignment horizontal="center"/>
      <protection locked="0"/>
    </xf>
    <xf numFmtId="168" fontId="0" fillId="0" borderId="0" xfId="0" applyNumberFormat="1" applyAlignment="1" applyProtection="1">
      <alignment horizontal="center"/>
      <protection locked="0"/>
    </xf>
    <xf numFmtId="168" fontId="27" fillId="0" borderId="0" xfId="0" applyNumberFormat="1" applyFont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7" fontId="0" fillId="6" borderId="13" xfId="0" applyNumberFormat="1" applyFill="1" applyBorder="1" applyAlignment="1" applyProtection="1">
      <alignment horizontal="center"/>
      <protection locked="0"/>
    </xf>
    <xf numFmtId="164" fontId="0" fillId="0" borderId="13" xfId="0" applyNumberFormat="1" applyBorder="1" applyProtection="1">
      <protection locked="0"/>
    </xf>
    <xf numFmtId="0" fontId="0" fillId="0" borderId="66" xfId="0" applyBorder="1" applyAlignment="1" applyProtection="1">
      <alignment horizontal="center"/>
      <protection locked="0"/>
    </xf>
    <xf numFmtId="164" fontId="0" fillId="0" borderId="66" xfId="0" applyNumberForma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" fontId="0" fillId="0" borderId="21" xfId="0" applyNumberFormat="1" applyBorder="1" applyProtection="1">
      <protection locked="0"/>
    </xf>
    <xf numFmtId="164" fontId="0" fillId="0" borderId="21" xfId="0" applyNumberForma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37" fillId="0" borderId="0" xfId="0" applyFont="1" applyAlignment="1" applyProtection="1">
      <alignment horizontal="center"/>
      <protection locked="0"/>
    </xf>
    <xf numFmtId="0" fontId="58" fillId="6" borderId="0" xfId="0" quotePrefix="1" applyFont="1" applyFill="1" applyProtection="1">
      <protection locked="0"/>
    </xf>
    <xf numFmtId="164" fontId="0" fillId="22" borderId="13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66" fillId="14" borderId="0" xfId="0" applyFont="1" applyFill="1" applyProtection="1">
      <protection locked="0"/>
    </xf>
    <xf numFmtId="0" fontId="58" fillId="13" borderId="0" xfId="0" applyFont="1" applyFill="1" applyProtection="1">
      <protection locked="0"/>
    </xf>
    <xf numFmtId="2" fontId="3" fillId="15" borderId="0" xfId="0" applyNumberFormat="1" applyFont="1" applyFill="1" applyProtection="1">
      <protection locked="0"/>
    </xf>
    <xf numFmtId="2" fontId="0" fillId="15" borderId="0" xfId="0" applyNumberFormat="1" applyFill="1" applyProtection="1">
      <protection locked="0"/>
    </xf>
    <xf numFmtId="4" fontId="0" fillId="15" borderId="0" xfId="0" applyNumberFormat="1" applyFill="1" applyProtection="1">
      <protection locked="0"/>
    </xf>
    <xf numFmtId="165" fontId="60" fillId="0" borderId="0" xfId="0" applyNumberFormat="1" applyFont="1" applyProtection="1">
      <protection locked="0"/>
    </xf>
    <xf numFmtId="165" fontId="60" fillId="14" borderId="0" xfId="0" applyNumberFormat="1" applyFont="1" applyFill="1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5" fontId="0" fillId="14" borderId="0" xfId="0" applyNumberFormat="1" applyFill="1" applyProtection="1">
      <protection locked="0"/>
    </xf>
    <xf numFmtId="165" fontId="0" fillId="15" borderId="0" xfId="0" applyNumberFormat="1" applyFill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37" fillId="0" borderId="42" xfId="0" applyFont="1" applyBorder="1" applyAlignment="1" applyProtection="1">
      <alignment horizontal="center"/>
      <protection locked="0"/>
    </xf>
    <xf numFmtId="0" fontId="37" fillId="0" borderId="43" xfId="0" applyFont="1" applyBorder="1" applyAlignment="1" applyProtection="1">
      <alignment horizontal="center"/>
      <protection locked="0"/>
    </xf>
    <xf numFmtId="0" fontId="47" fillId="0" borderId="0" xfId="0" applyFont="1" applyProtection="1">
      <protection locked="0"/>
    </xf>
    <xf numFmtId="0" fontId="50" fillId="0" borderId="0" xfId="0" applyFont="1" applyProtection="1">
      <protection locked="0"/>
    </xf>
    <xf numFmtId="0" fontId="52" fillId="0" borderId="0" xfId="0" applyFont="1" applyProtection="1">
      <protection locked="0"/>
    </xf>
    <xf numFmtId="0" fontId="0" fillId="0" borderId="13" xfId="0" applyBorder="1" applyAlignment="1" applyProtection="1">
      <alignment vertical="center"/>
      <protection locked="0"/>
    </xf>
    <xf numFmtId="0" fontId="51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46" fillId="0" borderId="25" xfId="0" applyFont="1" applyBorder="1" applyAlignment="1" applyProtection="1">
      <alignment horizontal="center" vertical="center"/>
      <protection locked="0"/>
    </xf>
    <xf numFmtId="2" fontId="0" fillId="0" borderId="44" xfId="0" applyNumberFormat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11" fontId="0" fillId="0" borderId="44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11" fontId="0" fillId="0" borderId="0" xfId="0" applyNumberFormat="1" applyAlignment="1" applyProtection="1">
      <alignment horizontal="center" vertical="center"/>
      <protection locked="0"/>
    </xf>
    <xf numFmtId="0" fontId="46" fillId="0" borderId="22" xfId="0" applyFont="1" applyBorder="1" applyAlignment="1" applyProtection="1">
      <alignment horizontal="center" vertical="center"/>
      <protection locked="0"/>
    </xf>
    <xf numFmtId="2" fontId="0" fillId="14" borderId="0" xfId="0" applyNumberFormat="1" applyFill="1" applyProtection="1">
      <protection locked="0"/>
    </xf>
    <xf numFmtId="165" fontId="3" fillId="15" borderId="0" xfId="0" applyNumberFormat="1" applyFont="1" applyFill="1" applyProtection="1">
      <protection locked="0"/>
    </xf>
    <xf numFmtId="164" fontId="3" fillId="15" borderId="0" xfId="0" applyNumberFormat="1" applyFont="1" applyFill="1" applyProtection="1">
      <protection locked="0"/>
    </xf>
    <xf numFmtId="0" fontId="0" fillId="14" borderId="0" xfId="0" applyFill="1" applyAlignment="1" applyProtection="1">
      <alignment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1" fontId="3" fillId="0" borderId="0" xfId="0" applyNumberFormat="1" applyFont="1" applyProtection="1">
      <protection locked="0"/>
    </xf>
    <xf numFmtId="1" fontId="58" fillId="0" borderId="0" xfId="0" applyNumberFormat="1" applyFont="1" applyProtection="1">
      <protection locked="0"/>
    </xf>
    <xf numFmtId="2" fontId="3" fillId="0" borderId="13" xfId="0" applyNumberFormat="1" applyFont="1" applyBorder="1" applyProtection="1">
      <protection locked="0"/>
    </xf>
    <xf numFmtId="0" fontId="0" fillId="14" borderId="2" xfId="0" applyFill="1" applyBorder="1" applyProtection="1">
      <protection locked="0"/>
    </xf>
    <xf numFmtId="0" fontId="0" fillId="14" borderId="3" xfId="0" applyFill="1" applyBorder="1" applyProtection="1">
      <protection locked="0"/>
    </xf>
    <xf numFmtId="0" fontId="0" fillId="14" borderId="3" xfId="0" applyFill="1" applyBorder="1" applyAlignment="1" applyProtection="1">
      <alignment horizontal="center"/>
      <protection locked="0"/>
    </xf>
    <xf numFmtId="0" fontId="0" fillId="14" borderId="4" xfId="0" applyFill="1" applyBorder="1" applyProtection="1">
      <protection locked="0"/>
    </xf>
    <xf numFmtId="0" fontId="0" fillId="14" borderId="18" xfId="0" applyFill="1" applyBorder="1" applyProtection="1">
      <protection locked="0"/>
    </xf>
    <xf numFmtId="0" fontId="0" fillId="14" borderId="19" xfId="0" applyFill="1" applyBorder="1" applyProtection="1">
      <protection locked="0"/>
    </xf>
    <xf numFmtId="0" fontId="0" fillId="14" borderId="19" xfId="0" applyFill="1" applyBorder="1" applyAlignment="1" applyProtection="1">
      <alignment horizontal="center"/>
      <protection locked="0"/>
    </xf>
    <xf numFmtId="0" fontId="37" fillId="14" borderId="36" xfId="0" applyFont="1" applyFill="1" applyBorder="1" applyProtection="1">
      <protection locked="0"/>
    </xf>
    <xf numFmtId="0" fontId="37" fillId="14" borderId="40" xfId="0" applyFont="1" applyFill="1" applyBorder="1" applyProtection="1">
      <protection locked="0"/>
    </xf>
    <xf numFmtId="0" fontId="6" fillId="14" borderId="40" xfId="0" applyFont="1" applyFill="1" applyBorder="1" applyProtection="1">
      <protection locked="0"/>
    </xf>
    <xf numFmtId="0" fontId="0" fillId="14" borderId="38" xfId="0" applyFill="1" applyBorder="1" applyAlignment="1" applyProtection="1">
      <alignment horizontal="center"/>
      <protection locked="0"/>
    </xf>
    <xf numFmtId="0" fontId="3" fillId="14" borderId="38" xfId="0" applyFont="1" applyFill="1" applyBorder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2" fillId="15" borderId="0" xfId="0" applyFont="1" applyFill="1" applyProtection="1">
      <protection locked="0"/>
    </xf>
    <xf numFmtId="2" fontId="0" fillId="6" borderId="0" xfId="0" applyNumberFormat="1" applyFill="1" applyAlignment="1" applyProtection="1">
      <alignment vertical="top"/>
      <protection locked="0"/>
    </xf>
    <xf numFmtId="2" fontId="0" fillId="15" borderId="0" xfId="0" applyNumberForma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6" borderId="0" xfId="0" applyFill="1" applyAlignment="1" applyProtection="1">
      <alignment vertical="top"/>
      <protection locked="0"/>
    </xf>
    <xf numFmtId="2" fontId="0" fillId="0" borderId="0" xfId="0" applyNumberFormat="1" applyAlignment="1" applyProtection="1">
      <alignment vertical="top"/>
      <protection locked="0"/>
    </xf>
    <xf numFmtId="2" fontId="0" fillId="14" borderId="0" xfId="0" applyNumberFormat="1" applyFill="1" applyAlignment="1" applyProtection="1">
      <alignment vertical="top"/>
      <protection locked="0"/>
    </xf>
    <xf numFmtId="177" fontId="0" fillId="0" borderId="0" xfId="0" applyNumberFormat="1" applyProtection="1">
      <protection locked="0"/>
    </xf>
    <xf numFmtId="2" fontId="0" fillId="10" borderId="0" xfId="0" applyNumberFormat="1" applyFill="1" applyProtection="1">
      <protection locked="0"/>
    </xf>
    <xf numFmtId="0" fontId="0" fillId="10" borderId="0" xfId="0" applyFill="1" applyProtection="1">
      <protection locked="0"/>
    </xf>
    <xf numFmtId="2" fontId="0" fillId="12" borderId="0" xfId="0" applyNumberFormat="1" applyFill="1" applyAlignment="1" applyProtection="1">
      <alignment vertical="top"/>
      <protection locked="0"/>
    </xf>
    <xf numFmtId="1" fontId="0" fillId="3" borderId="0" xfId="0" applyNumberFormat="1" applyFill="1" applyProtection="1">
      <protection locked="0"/>
    </xf>
    <xf numFmtId="2" fontId="3" fillId="10" borderId="0" xfId="3" applyNumberFormat="1" applyFont="1" applyFill="1" applyProtection="1">
      <protection locked="0"/>
    </xf>
    <xf numFmtId="0" fontId="3" fillId="10" borderId="0" xfId="3" applyFont="1" applyFill="1" applyProtection="1">
      <protection locked="0"/>
    </xf>
    <xf numFmtId="0" fontId="3" fillId="15" borderId="0" xfId="0" applyFont="1" applyFill="1" applyProtection="1"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1" fontId="0" fillId="15" borderId="13" xfId="0" applyNumberFormat="1" applyFill="1" applyBorder="1" applyAlignment="1" applyProtection="1">
      <alignment horizontal="center"/>
      <protection locked="0"/>
    </xf>
    <xf numFmtId="2" fontId="0" fillId="15" borderId="13" xfId="0" applyNumberFormat="1" applyFill="1" applyBorder="1" applyAlignment="1" applyProtection="1">
      <alignment horizontal="center"/>
      <protection locked="0"/>
    </xf>
    <xf numFmtId="2" fontId="3" fillId="0" borderId="13" xfId="3" applyNumberFormat="1" applyFont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3" fillId="14" borderId="0" xfId="3" applyNumberFormat="1" applyFont="1" applyFill="1" applyProtection="1">
      <protection locked="0"/>
    </xf>
    <xf numFmtId="0" fontId="26" fillId="0" borderId="0" xfId="3" applyFont="1" applyProtection="1">
      <protection locked="0"/>
    </xf>
    <xf numFmtId="11" fontId="3" fillId="0" borderId="0" xfId="3" applyNumberFormat="1" applyFont="1" applyProtection="1">
      <protection locked="0"/>
    </xf>
    <xf numFmtId="2" fontId="3" fillId="15" borderId="0" xfId="3" applyNumberFormat="1" applyFont="1" applyFill="1" applyProtection="1">
      <protection locked="0"/>
    </xf>
    <xf numFmtId="0" fontId="3" fillId="14" borderId="0" xfId="3" applyFont="1" applyFill="1" applyAlignment="1" applyProtection="1">
      <alignment horizontal="right"/>
      <protection locked="0"/>
    </xf>
    <xf numFmtId="0" fontId="3" fillId="14" borderId="0" xfId="3" applyFont="1" applyFill="1" applyAlignment="1" applyProtection="1">
      <alignment horizontal="left"/>
      <protection locked="0"/>
    </xf>
    <xf numFmtId="0" fontId="6" fillId="0" borderId="0" xfId="3" applyFont="1" applyAlignment="1" applyProtection="1">
      <alignment horizontal="right"/>
      <protection locked="0"/>
    </xf>
    <xf numFmtId="0" fontId="6" fillId="0" borderId="0" xfId="3" applyFont="1" applyAlignment="1" applyProtection="1">
      <alignment horizontal="left"/>
      <protection locked="0"/>
    </xf>
    <xf numFmtId="0" fontId="3" fillId="0" borderId="0" xfId="3" applyFont="1" applyAlignment="1" applyProtection="1">
      <alignment horizontal="right"/>
      <protection locked="0"/>
    </xf>
    <xf numFmtId="0" fontId="66" fillId="0" borderId="0" xfId="0" applyFont="1" applyAlignment="1" applyProtection="1">
      <alignment horizontal="right"/>
      <protection locked="0"/>
    </xf>
    <xf numFmtId="0" fontId="66" fillId="0" borderId="0" xfId="0" applyFont="1" applyAlignment="1" applyProtection="1">
      <alignment horizontal="left"/>
      <protection locked="0"/>
    </xf>
    <xf numFmtId="0" fontId="66" fillId="0" borderId="26" xfId="0" applyFont="1" applyBorder="1" applyProtection="1">
      <protection locked="0"/>
    </xf>
    <xf numFmtId="0" fontId="66" fillId="0" borderId="10" xfId="0" applyFont="1" applyBorder="1" applyProtection="1">
      <protection locked="0"/>
    </xf>
    <xf numFmtId="0" fontId="66" fillId="0" borderId="25" xfId="0" applyFont="1" applyBorder="1" applyProtection="1">
      <protection locked="0"/>
    </xf>
    <xf numFmtId="0" fontId="66" fillId="0" borderId="27" xfId="0" applyFont="1" applyBorder="1" applyProtection="1">
      <protection locked="0"/>
    </xf>
    <xf numFmtId="0" fontId="66" fillId="0" borderId="22" xfId="0" applyFont="1" applyBorder="1" applyProtection="1">
      <protection locked="0"/>
    </xf>
    <xf numFmtId="0" fontId="73" fillId="15" borderId="0" xfId="0" applyFont="1" applyFill="1" applyProtection="1"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15" borderId="0" xfId="0" applyFill="1" applyAlignment="1" applyProtection="1">
      <alignment vertical="top"/>
      <protection locked="0"/>
    </xf>
    <xf numFmtId="177" fontId="0" fillId="15" borderId="0" xfId="0" applyNumberFormat="1" applyFill="1" applyAlignment="1" applyProtection="1">
      <alignment vertical="top"/>
      <protection locked="0"/>
    </xf>
    <xf numFmtId="1" fontId="0" fillId="6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3" fillId="15" borderId="0" xfId="3" applyFont="1" applyFill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15" borderId="0" xfId="0" applyFill="1" applyAlignment="1" applyProtection="1">
      <alignment wrapText="1"/>
      <protection locked="0"/>
    </xf>
    <xf numFmtId="2" fontId="73" fillId="15" borderId="0" xfId="0" applyNumberFormat="1" applyFont="1" applyFill="1" applyProtection="1">
      <protection locked="0"/>
    </xf>
    <xf numFmtId="2" fontId="0" fillId="15" borderId="0" xfId="0" applyNumberFormat="1" applyFill="1" applyAlignment="1" applyProtection="1">
      <alignment horizontal="center"/>
      <protection locked="0"/>
    </xf>
    <xf numFmtId="2" fontId="0" fillId="14" borderId="0" xfId="0" applyNumberFormat="1" applyFill="1" applyAlignment="1" applyProtection="1">
      <alignment horizontal="right" vertical="top"/>
      <protection locked="0"/>
    </xf>
    <xf numFmtId="2" fontId="0" fillId="3" borderId="0" xfId="0" applyNumberFormat="1" applyFill="1" applyProtection="1">
      <protection locked="0"/>
    </xf>
    <xf numFmtId="0" fontId="0" fillId="11" borderId="0" xfId="0" applyFill="1" applyProtection="1">
      <protection locked="0"/>
    </xf>
    <xf numFmtId="165" fontId="0" fillId="6" borderId="0" xfId="0" applyNumberFormat="1" applyFill="1" applyAlignment="1" applyProtection="1">
      <alignment horizontal="left"/>
      <protection locked="0"/>
    </xf>
    <xf numFmtId="0" fontId="7" fillId="0" borderId="0" xfId="0" applyFont="1" applyAlignment="1" applyProtection="1">
      <alignment vertical="center" wrapText="1"/>
      <protection locked="0"/>
    </xf>
    <xf numFmtId="2" fontId="11" fillId="6" borderId="0" xfId="0" applyNumberFormat="1" applyFont="1" applyFill="1" applyAlignment="1" applyProtection="1">
      <alignment horizontal="left"/>
      <protection locked="0"/>
    </xf>
    <xf numFmtId="1" fontId="0" fillId="6" borderId="0" xfId="0" applyNumberFormat="1" applyFill="1" applyAlignment="1" applyProtection="1">
      <alignment horizontal="left"/>
      <protection locked="0"/>
    </xf>
    <xf numFmtId="2" fontId="0" fillId="6" borderId="0" xfId="0" applyNumberFormat="1" applyFill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2" fontId="3" fillId="2" borderId="0" xfId="0" applyNumberFormat="1" applyFont="1" applyFill="1" applyAlignment="1" applyProtection="1">
      <alignment horizontal="left"/>
      <protection locked="0"/>
    </xf>
    <xf numFmtId="2" fontId="3" fillId="14" borderId="0" xfId="0" applyNumberFormat="1" applyFont="1" applyFill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0" fontId="0" fillId="7" borderId="0" xfId="0" applyFill="1" applyProtection="1">
      <protection locked="0"/>
    </xf>
    <xf numFmtId="0" fontId="0" fillId="8" borderId="0" xfId="0" applyFill="1" applyProtection="1">
      <protection locked="0"/>
    </xf>
    <xf numFmtId="0" fontId="15" fillId="0" borderId="0" xfId="0" applyFont="1" applyProtection="1">
      <protection locked="0"/>
    </xf>
    <xf numFmtId="164" fontId="12" fillId="0" borderId="0" xfId="0" applyNumberFormat="1" applyFont="1" applyAlignment="1" applyProtection="1">
      <alignment horizontal="center"/>
      <protection locked="0"/>
    </xf>
    <xf numFmtId="164" fontId="12" fillId="0" borderId="1" xfId="0" applyNumberFormat="1" applyFont="1" applyBorder="1" applyAlignment="1" applyProtection="1">
      <alignment horizontal="center"/>
      <protection locked="0"/>
    </xf>
    <xf numFmtId="164" fontId="13" fillId="0" borderId="0" xfId="0" applyNumberFormat="1" applyFont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164" fontId="0" fillId="21" borderId="13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0" fillId="21" borderId="13" xfId="0" applyFill="1" applyBorder="1" applyAlignment="1" applyProtection="1">
      <alignment horizontal="center" vertical="center"/>
      <protection locked="0"/>
    </xf>
    <xf numFmtId="2" fontId="58" fillId="4" borderId="0" xfId="0" applyNumberFormat="1" applyFont="1" applyFill="1" applyAlignment="1" applyProtection="1">
      <alignment horizontal="center"/>
      <protection locked="0"/>
    </xf>
    <xf numFmtId="164" fontId="3" fillId="21" borderId="13" xfId="0" applyNumberFormat="1" applyFont="1" applyFill="1" applyBorder="1" applyAlignment="1" applyProtection="1">
      <alignment horizontal="center"/>
      <protection locked="0"/>
    </xf>
    <xf numFmtId="2" fontId="66" fillId="0" borderId="0" xfId="0" applyNumberFormat="1" applyFont="1" applyAlignment="1" applyProtection="1">
      <alignment horizontal="left"/>
      <protection locked="0"/>
    </xf>
    <xf numFmtId="2" fontId="66" fillId="0" borderId="0" xfId="0" applyNumberFormat="1" applyFont="1" applyProtection="1">
      <protection locked="0"/>
    </xf>
    <xf numFmtId="2" fontId="0" fillId="0" borderId="25" xfId="0" applyNumberFormat="1" applyBorder="1" applyProtection="1">
      <protection locked="0"/>
    </xf>
    <xf numFmtId="1" fontId="66" fillId="0" borderId="0" xfId="0" applyNumberFormat="1" applyFont="1" applyAlignment="1" applyProtection="1">
      <alignment horizontal="left"/>
      <protection locked="0"/>
    </xf>
    <xf numFmtId="0" fontId="66" fillId="0" borderId="11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30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0" fillId="0" borderId="0" xfId="0" quotePrefix="1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3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165" fontId="0" fillId="2" borderId="0" xfId="0" applyNumberFormat="1" applyFill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14" fontId="0" fillId="0" borderId="0" xfId="0" quotePrefix="1" applyNumberFormat="1" applyAlignment="1" applyProtection="1">
      <alignment horizontal="center"/>
      <protection locked="0"/>
    </xf>
    <xf numFmtId="0" fontId="0" fillId="0" borderId="6" xfId="0" quotePrefix="1" applyBorder="1" applyAlignment="1" applyProtection="1">
      <alignment horizontal="center"/>
      <protection locked="0"/>
    </xf>
    <xf numFmtId="0" fontId="8" fillId="0" borderId="63" xfId="0" applyFont="1" applyBorder="1" applyProtection="1">
      <protection locked="0"/>
    </xf>
    <xf numFmtId="0" fontId="8" fillId="0" borderId="41" xfId="0" applyFont="1" applyBorder="1" applyProtection="1">
      <protection locked="0"/>
    </xf>
    <xf numFmtId="0" fontId="2" fillId="0" borderId="1" xfId="6" applyBorder="1" applyProtection="1">
      <protection locked="0"/>
    </xf>
    <xf numFmtId="0" fontId="2" fillId="0" borderId="41" xfId="6" applyBorder="1" applyProtection="1">
      <protection locked="0"/>
    </xf>
    <xf numFmtId="0" fontId="6" fillId="0" borderId="40" xfId="6" applyFont="1" applyBorder="1" applyProtection="1">
      <protection locked="0"/>
    </xf>
    <xf numFmtId="0" fontId="2" fillId="0" borderId="38" xfId="6" applyBorder="1" applyAlignment="1" applyProtection="1">
      <alignment horizontal="center"/>
      <protection locked="0"/>
    </xf>
    <xf numFmtId="0" fontId="2" fillId="0" borderId="3" xfId="6" applyBorder="1" applyProtection="1">
      <protection locked="0"/>
    </xf>
    <xf numFmtId="0" fontId="25" fillId="0" borderId="0" xfId="6" applyFont="1" applyProtection="1">
      <protection locked="0"/>
    </xf>
    <xf numFmtId="0" fontId="2" fillId="0" borderId="0" xfId="6" applyAlignment="1" applyProtection="1">
      <alignment horizontal="right"/>
      <protection locked="0"/>
    </xf>
    <xf numFmtId="2" fontId="2" fillId="0" borderId="0" xfId="6" applyNumberFormat="1" applyProtection="1">
      <protection locked="0"/>
    </xf>
    <xf numFmtId="0" fontId="3" fillId="0" borderId="0" xfId="6" applyFont="1" applyAlignment="1" applyProtection="1">
      <alignment horizontal="right"/>
      <protection locked="0"/>
    </xf>
    <xf numFmtId="0" fontId="2" fillId="0" borderId="0" xfId="6" applyAlignment="1" applyProtection="1">
      <alignment horizontal="center"/>
      <protection locked="0"/>
    </xf>
    <xf numFmtId="1" fontId="2" fillId="0" borderId="0" xfId="6" applyNumberFormat="1" applyAlignment="1" applyProtection="1">
      <alignment horizontal="center"/>
      <protection locked="0"/>
    </xf>
    <xf numFmtId="0" fontId="2" fillId="0" borderId="0" xfId="6" quotePrefix="1" applyProtection="1">
      <protection locked="0"/>
    </xf>
    <xf numFmtId="2" fontId="2" fillId="16" borderId="0" xfId="6" applyNumberFormat="1" applyFill="1" applyAlignment="1" applyProtection="1">
      <alignment horizontal="center"/>
      <protection locked="0"/>
    </xf>
    <xf numFmtId="0" fontId="2" fillId="0" borderId="0" xfId="6" applyProtection="1">
      <protection locked="0"/>
    </xf>
    <xf numFmtId="0" fontId="1" fillId="0" borderId="0" xfId="6" applyFont="1" applyProtection="1">
      <protection locked="0"/>
    </xf>
    <xf numFmtId="2" fontId="2" fillId="0" borderId="0" xfId="6" applyNumberFormat="1" applyAlignment="1" applyProtection="1">
      <alignment horizontal="center"/>
      <protection locked="0"/>
    </xf>
    <xf numFmtId="2" fontId="2" fillId="14" borderId="0" xfId="6" applyNumberFormat="1" applyFill="1" applyAlignment="1" applyProtection="1">
      <alignment horizontal="center"/>
      <protection locked="0"/>
    </xf>
    <xf numFmtId="0" fontId="25" fillId="0" borderId="0" xfId="6" applyFont="1" applyAlignment="1" applyProtection="1">
      <alignment horizontal="left"/>
      <protection locked="0"/>
    </xf>
    <xf numFmtId="2" fontId="25" fillId="0" borderId="0" xfId="6" applyNumberFormat="1" applyFont="1" applyAlignment="1" applyProtection="1">
      <alignment horizontal="center"/>
      <protection locked="0"/>
    </xf>
    <xf numFmtId="0" fontId="57" fillId="0" borderId="0" xfId="6" applyFont="1" applyAlignment="1" applyProtection="1">
      <alignment horizontal="center"/>
      <protection locked="0"/>
    </xf>
    <xf numFmtId="0" fontId="2" fillId="16" borderId="0" xfId="6" applyFill="1" applyAlignment="1" applyProtection="1">
      <alignment horizontal="center"/>
      <protection locked="0"/>
    </xf>
    <xf numFmtId="0" fontId="49" fillId="0" borderId="0" xfId="6" applyFont="1" applyProtection="1">
      <protection locked="0"/>
    </xf>
    <xf numFmtId="0" fontId="60" fillId="0" borderId="38" xfId="6" applyFont="1" applyBorder="1" applyAlignment="1" applyProtection="1">
      <alignment horizont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6" fillId="23" borderId="13" xfId="0" applyFont="1" applyFill="1" applyBorder="1" applyAlignment="1" applyProtection="1">
      <alignment horizontal="center"/>
      <protection locked="0"/>
    </xf>
    <xf numFmtId="0" fontId="6" fillId="23" borderId="29" xfId="0" applyFont="1" applyFill="1" applyBorder="1" applyAlignment="1" applyProtection="1">
      <alignment horizontal="center"/>
      <protection locked="0"/>
    </xf>
    <xf numFmtId="164" fontId="6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0" fillId="0" borderId="12" xfId="0" applyBorder="1" applyProtection="1">
      <protection locked="0"/>
    </xf>
    <xf numFmtId="0" fontId="0" fillId="0" borderId="44" xfId="0" applyBorder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0" fontId="0" fillId="0" borderId="42" xfId="0" applyBorder="1" applyProtection="1">
      <protection locked="0"/>
    </xf>
    <xf numFmtId="0" fontId="4" fillId="0" borderId="39" xfId="1" applyBorder="1" applyAlignment="1">
      <alignment horizontal="center"/>
      <protection locked="0"/>
    </xf>
    <xf numFmtId="0" fontId="0" fillId="0" borderId="68" xfId="0" applyBorder="1" applyProtection="1">
      <protection locked="0"/>
    </xf>
    <xf numFmtId="0" fontId="0" fillId="0" borderId="43" xfId="0" applyBorder="1" applyProtection="1"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0" fillId="0" borderId="47" xfId="0" applyBorder="1" applyProtection="1">
      <protection locked="0"/>
    </xf>
    <xf numFmtId="0" fontId="0" fillId="0" borderId="79" xfId="0" applyBorder="1" applyProtection="1"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8" fillId="0" borderId="94" xfId="0" applyFont="1" applyBorder="1" applyAlignment="1" applyProtection="1">
      <alignment horizontal="center" wrapText="1"/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4" xfId="0" applyBorder="1" applyProtection="1">
      <protection locked="0"/>
    </xf>
    <xf numFmtId="0" fontId="14" fillId="0" borderId="41" xfId="0" applyFont="1" applyBorder="1" applyAlignment="1" applyProtection="1">
      <alignment horizontal="center" vertical="top" wrapText="1"/>
      <protection locked="0"/>
    </xf>
    <xf numFmtId="0" fontId="38" fillId="0" borderId="87" xfId="0" applyFont="1" applyBorder="1" applyAlignment="1" applyProtection="1">
      <alignment horizontal="center" wrapText="1"/>
      <protection locked="0"/>
    </xf>
    <xf numFmtId="0" fontId="0" fillId="0" borderId="46" xfId="0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48" xfId="0" applyBorder="1" applyProtection="1">
      <protection locked="0"/>
    </xf>
    <xf numFmtId="0" fontId="0" fillId="0" borderId="93" xfId="0" applyBorder="1" applyAlignment="1" applyProtection="1">
      <alignment horizontal="center"/>
      <protection locked="0"/>
    </xf>
    <xf numFmtId="0" fontId="0" fillId="0" borderId="57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5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0" xfId="0" applyBorder="1" applyProtection="1">
      <protection locked="0"/>
    </xf>
    <xf numFmtId="0" fontId="0" fillId="0" borderId="74" xfId="0" applyBorder="1" applyProtection="1">
      <protection locked="0"/>
    </xf>
    <xf numFmtId="0" fontId="0" fillId="0" borderId="64" xfId="0" applyBorder="1" applyProtection="1"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8" fillId="0" borderId="88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8" fillId="0" borderId="89" xfId="0" applyFont="1" applyBorder="1" applyAlignment="1" applyProtection="1">
      <alignment horizontal="center"/>
      <protection locked="0"/>
    </xf>
    <xf numFmtId="0" fontId="0" fillId="0" borderId="90" xfId="0" applyBorder="1" applyAlignment="1" applyProtection="1">
      <alignment horizontal="center"/>
      <protection locked="0"/>
    </xf>
    <xf numFmtId="0" fontId="27" fillId="0" borderId="91" xfId="0" applyFont="1" applyBorder="1" applyAlignment="1" applyProtection="1">
      <alignment horizontal="center"/>
      <protection locked="0"/>
    </xf>
    <xf numFmtId="0" fontId="0" fillId="0" borderId="55" xfId="0" applyBorder="1" applyProtection="1"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92" xfId="0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0" fontId="7" fillId="0" borderId="81" xfId="0" applyFont="1" applyBorder="1" applyAlignment="1" applyProtection="1">
      <alignment horizontal="center" wrapText="1"/>
      <protection locked="0"/>
    </xf>
    <xf numFmtId="0" fontId="0" fillId="0" borderId="21" xfId="0" applyBorder="1" applyProtection="1">
      <protection locked="0"/>
    </xf>
    <xf numFmtId="0" fontId="0" fillId="0" borderId="82" xfId="0" applyBorder="1" applyProtection="1">
      <protection locked="0"/>
    </xf>
    <xf numFmtId="0" fontId="0" fillId="0" borderId="83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84" xfId="0" applyBorder="1" applyProtection="1">
      <protection locked="0"/>
    </xf>
    <xf numFmtId="0" fontId="7" fillId="0" borderId="85" xfId="0" applyFont="1" applyBorder="1" applyAlignment="1" applyProtection="1">
      <alignment horizontal="center" wrapText="1"/>
      <protection locked="0"/>
    </xf>
    <xf numFmtId="0" fontId="7" fillId="0" borderId="86" xfId="0" applyFont="1" applyBorder="1" applyAlignment="1" applyProtection="1">
      <alignment horizontal="center" wrapText="1"/>
      <protection locked="0"/>
    </xf>
    <xf numFmtId="0" fontId="7" fillId="0" borderId="87" xfId="0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7" fillId="0" borderId="29" xfId="0" applyFont="1" applyBorder="1" applyAlignment="1" applyProtection="1">
      <alignment horizontal="center" wrapText="1"/>
      <protection locked="0"/>
    </xf>
    <xf numFmtId="0" fontId="0" fillId="0" borderId="25" xfId="0" applyBorder="1" applyProtection="1"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0" fontId="3" fillId="2" borderId="24" xfId="0" quotePrefix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45" fillId="0" borderId="0" xfId="0" applyFont="1" applyAlignment="1" applyProtection="1">
      <alignment horizontal="center" wrapText="1"/>
      <protection locked="0"/>
    </xf>
    <xf numFmtId="0" fontId="42" fillId="0" borderId="0" xfId="0" applyFont="1" applyAlignment="1" applyProtection="1">
      <alignment horizontal="center"/>
      <protection locked="0"/>
    </xf>
    <xf numFmtId="0" fontId="42" fillId="0" borderId="0" xfId="0" applyFont="1" applyAlignment="1" applyProtection="1">
      <alignment horizontal="left" vertical="top" wrapText="1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37" fillId="0" borderId="40" xfId="0" applyFont="1" applyBorder="1" applyAlignment="1" applyProtection="1">
      <alignment horizontal="center"/>
      <protection locked="0"/>
    </xf>
    <xf numFmtId="0" fontId="37" fillId="0" borderId="1" xfId="0" applyFont="1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2" xfId="0" applyBorder="1" applyProtection="1">
      <protection locked="0"/>
    </xf>
    <xf numFmtId="0" fontId="3" fillId="2" borderId="13" xfId="0" quotePrefix="1" applyFont="1" applyFill="1" applyBorder="1" applyAlignment="1" applyProtection="1">
      <alignment horizontal="center"/>
      <protection locked="0"/>
    </xf>
    <xf numFmtId="0" fontId="3" fillId="2" borderId="24" xfId="0" quotePrefix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1" fontId="12" fillId="0" borderId="0" xfId="0" applyNumberFormat="1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wrapText="1"/>
      <protection locked="0"/>
    </xf>
    <xf numFmtId="0" fontId="8" fillId="0" borderId="63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7" fontId="0" fillId="2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15" borderId="0" xfId="0" applyFont="1" applyFill="1" applyAlignment="1" applyProtection="1">
      <alignment horizontal="left" vertical="top" wrapText="1"/>
      <protection locked="0"/>
    </xf>
    <xf numFmtId="0" fontId="8" fillId="0" borderId="86" xfId="0" applyFont="1" applyBorder="1" applyAlignment="1" applyProtection="1">
      <alignment horizontal="center"/>
      <protection locked="0"/>
    </xf>
    <xf numFmtId="0" fontId="8" fillId="0" borderId="95" xfId="0" applyFont="1" applyBorder="1" applyAlignment="1" applyProtection="1">
      <alignment horizontal="center"/>
      <protection locked="0"/>
    </xf>
    <xf numFmtId="0" fontId="53" fillId="11" borderId="74" xfId="0" applyFont="1" applyFill="1" applyBorder="1" applyAlignment="1" applyProtection="1">
      <alignment horizontal="center" vertical="center"/>
      <protection locked="0"/>
    </xf>
    <xf numFmtId="0" fontId="54" fillId="17" borderId="74" xfId="0" applyFont="1" applyFill="1" applyBorder="1" applyAlignment="1" applyProtection="1">
      <alignment horizontal="center" vertical="center"/>
      <protection locked="0"/>
    </xf>
    <xf numFmtId="0" fontId="55" fillId="18" borderId="70" xfId="0" applyFont="1" applyFill="1" applyBorder="1" applyAlignment="1" applyProtection="1">
      <alignment horizontal="center" vertical="center"/>
      <protection locked="0"/>
    </xf>
    <xf numFmtId="0" fontId="55" fillId="18" borderId="64" xfId="0" applyFont="1" applyFill="1" applyBorder="1" applyAlignment="1" applyProtection="1">
      <alignment horizontal="center" vertical="center"/>
      <protection locked="0"/>
    </xf>
    <xf numFmtId="0" fontId="54" fillId="17" borderId="1" xfId="0" applyFont="1" applyFill="1" applyBorder="1" applyAlignment="1" applyProtection="1">
      <alignment horizontal="center" vertical="center"/>
      <protection locked="0"/>
    </xf>
    <xf numFmtId="0" fontId="55" fillId="18" borderId="1" xfId="0" applyFont="1" applyFill="1" applyBorder="1" applyAlignment="1" applyProtection="1">
      <alignment horizontal="center" vertical="center"/>
      <protection locked="0"/>
    </xf>
    <xf numFmtId="0" fontId="55" fillId="18" borderId="60" xfId="0" applyFont="1" applyFill="1" applyBorder="1" applyAlignment="1" applyProtection="1">
      <alignment horizontal="center" vertical="center"/>
      <protection locked="0"/>
    </xf>
    <xf numFmtId="0" fontId="55" fillId="18" borderId="71" xfId="0" applyFont="1" applyFill="1" applyBorder="1" applyAlignment="1" applyProtection="1">
      <alignment horizontal="center" vertical="center"/>
      <protection locked="0"/>
    </xf>
    <xf numFmtId="0" fontId="55" fillId="18" borderId="72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54" fillId="17" borderId="5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37" fillId="0" borderId="28" xfId="0" applyFont="1" applyBorder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0" fontId="37" fillId="0" borderId="91" xfId="0" applyFont="1" applyBorder="1" applyAlignment="1" applyProtection="1">
      <alignment horizontal="center"/>
      <protection locked="0"/>
    </xf>
    <xf numFmtId="0" fontId="0" fillId="0" borderId="65" xfId="0" applyBorder="1" applyProtection="1"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46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37" fillId="0" borderId="76" xfId="0" applyFont="1" applyBorder="1" applyAlignment="1" applyProtection="1">
      <alignment horizontal="center"/>
      <protection locked="0"/>
    </xf>
    <xf numFmtId="0" fontId="0" fillId="0" borderId="96" xfId="0" applyBorder="1" applyProtection="1">
      <protection locked="0"/>
    </xf>
    <xf numFmtId="0" fontId="0" fillId="0" borderId="97" xfId="0" applyBorder="1" applyProtection="1">
      <protection locked="0"/>
    </xf>
    <xf numFmtId="0" fontId="3" fillId="0" borderId="76" xfId="0" applyFont="1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0" fillId="20" borderId="13" xfId="0" applyFill="1" applyBorder="1" applyAlignment="1" applyProtection="1">
      <alignment horizontal="center" wrapText="1"/>
      <protection locked="0"/>
    </xf>
    <xf numFmtId="0" fontId="0" fillId="20" borderId="13" xfId="0" applyFill="1" applyBorder="1" applyAlignment="1" applyProtection="1">
      <alignment horizontal="center"/>
      <protection locked="0"/>
    </xf>
    <xf numFmtId="0" fontId="0" fillId="20" borderId="13" xfId="0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/>
      <protection locked="0"/>
    </xf>
    <xf numFmtId="180" fontId="0" fillId="0" borderId="40" xfId="2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25" fillId="0" borderId="0" xfId="0" applyFont="1" applyAlignment="1" applyProtection="1">
      <alignment wrapText="1"/>
      <protection locked="0"/>
    </xf>
    <xf numFmtId="0" fontId="8" fillId="0" borderId="87" xfId="0" applyFont="1" applyBorder="1" applyAlignment="1" applyProtection="1">
      <alignment horizontal="center"/>
      <protection locked="0"/>
    </xf>
    <xf numFmtId="0" fontId="8" fillId="0" borderId="94" xfId="0" applyFont="1" applyBorder="1" applyAlignment="1" applyProtection="1">
      <alignment horizontal="center"/>
      <protection locked="0"/>
    </xf>
    <xf numFmtId="0" fontId="0" fillId="0" borderId="69" xfId="0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86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70" xfId="0" applyBorder="1" applyAlignment="1" applyProtection="1">
      <alignment horizontal="center"/>
      <protection locked="0"/>
    </xf>
    <xf numFmtId="0" fontId="8" fillId="0" borderId="98" xfId="0" applyFont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0" fillId="0" borderId="99" xfId="0" applyBorder="1" applyAlignment="1" applyProtection="1">
      <alignment horizontal="center"/>
      <protection locked="0"/>
    </xf>
    <xf numFmtId="0" fontId="8" fillId="0" borderId="39" xfId="0" applyFont="1" applyBorder="1" applyAlignment="1" applyProtection="1">
      <alignment horizontal="center"/>
      <protection locked="0"/>
    </xf>
    <xf numFmtId="0" fontId="8" fillId="0" borderId="37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66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3" fillId="0" borderId="0" xfId="3" applyFont="1" applyAlignment="1" applyProtection="1">
      <alignment horizontal="left"/>
      <protection locked="0"/>
    </xf>
    <xf numFmtId="2" fontId="3" fillId="0" borderId="0" xfId="3" applyNumberFormat="1" applyFont="1" applyAlignment="1" applyProtection="1">
      <alignment horizontal="center"/>
      <protection locked="0"/>
    </xf>
    <xf numFmtId="0" fontId="3" fillId="0" borderId="0" xfId="3" applyFont="1" applyAlignment="1" applyProtection="1">
      <alignment horizontal="center"/>
      <protection locked="0"/>
    </xf>
    <xf numFmtId="0" fontId="3" fillId="14" borderId="0" xfId="3" applyFont="1" applyFill="1" applyAlignment="1" applyProtection="1">
      <alignment horizontal="center"/>
      <protection locked="0"/>
    </xf>
    <xf numFmtId="0" fontId="3" fillId="0" borderId="35" xfId="3" applyFont="1" applyBorder="1" applyAlignment="1" applyProtection="1">
      <alignment horizontal="center"/>
      <protection locked="0"/>
    </xf>
    <xf numFmtId="0" fontId="8" fillId="0" borderId="36" xfId="3" applyFont="1" applyBorder="1" applyAlignment="1" applyProtection="1">
      <alignment horizontal="center"/>
      <protection locked="0"/>
    </xf>
    <xf numFmtId="0" fontId="8" fillId="0" borderId="1" xfId="3" applyFont="1" applyBorder="1" applyAlignment="1" applyProtection="1">
      <alignment horizontal="center"/>
      <protection locked="0"/>
    </xf>
    <xf numFmtId="0" fontId="3" fillId="0" borderId="37" xfId="3" applyFont="1" applyBorder="1" applyAlignment="1" applyProtection="1">
      <alignment horizontal="center"/>
      <protection locked="0"/>
    </xf>
    <xf numFmtId="0" fontId="27" fillId="0" borderId="1" xfId="3" applyFont="1" applyBorder="1" applyAlignment="1" applyProtection="1">
      <alignment horizontal="center"/>
      <protection locked="0"/>
    </xf>
    <xf numFmtId="0" fontId="3" fillId="0" borderId="36" xfId="3" applyFont="1" applyBorder="1" applyAlignment="1" applyProtection="1">
      <alignment horizontal="center"/>
      <protection locked="0"/>
    </xf>
    <xf numFmtId="0" fontId="3" fillId="0" borderId="39" xfId="3" applyFont="1" applyBorder="1" applyAlignment="1" applyProtection="1">
      <alignment horizontal="center"/>
      <protection locked="0"/>
    </xf>
    <xf numFmtId="0" fontId="27" fillId="0" borderId="40" xfId="3" applyFont="1" applyBorder="1" applyAlignment="1" applyProtection="1">
      <alignment horizontal="center"/>
      <protection locked="0"/>
    </xf>
    <xf numFmtId="0" fontId="3" fillId="0" borderId="40" xfId="3" applyFont="1" applyBorder="1" applyAlignment="1" applyProtection="1">
      <alignment horizontal="center"/>
      <protection locked="0"/>
    </xf>
    <xf numFmtId="0" fontId="3" fillId="0" borderId="0" xfId="3" applyFont="1" applyAlignment="1" applyProtection="1">
      <alignment horizontal="left" wrapText="1"/>
      <protection locked="0"/>
    </xf>
    <xf numFmtId="0" fontId="25" fillId="0" borderId="0" xfId="3" applyFont="1" applyAlignment="1" applyProtection="1">
      <alignment horizontal="left" wrapText="1"/>
      <protection locked="0"/>
    </xf>
    <xf numFmtId="0" fontId="3" fillId="13" borderId="0" xfId="3" applyFont="1" applyFill="1" applyAlignment="1" applyProtection="1">
      <alignment horizontal="center"/>
      <protection locked="0"/>
    </xf>
    <xf numFmtId="2" fontId="3" fillId="13" borderId="0" xfId="3" applyNumberFormat="1" applyFont="1" applyFill="1" applyAlignment="1" applyProtection="1">
      <alignment horizontal="center"/>
      <protection locked="0"/>
    </xf>
    <xf numFmtId="2" fontId="3" fillId="14" borderId="0" xfId="3" applyNumberFormat="1" applyFont="1" applyFill="1" applyAlignment="1" applyProtection="1">
      <alignment horizontal="center"/>
      <protection locked="0"/>
    </xf>
    <xf numFmtId="2" fontId="3" fillId="15" borderId="0" xfId="3" applyNumberFormat="1" applyFont="1" applyFill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6" fillId="0" borderId="0" xfId="0" applyFont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0" fillId="0" borderId="85" xfId="0" applyBorder="1" applyAlignment="1" applyProtection="1">
      <alignment horizontal="center"/>
      <protection locked="0"/>
    </xf>
    <xf numFmtId="0" fontId="8" fillId="0" borderId="48" xfId="0" applyFont="1" applyBorder="1" applyAlignment="1" applyProtection="1">
      <alignment horizontal="center"/>
      <protection locked="0"/>
    </xf>
    <xf numFmtId="0" fontId="8" fillId="0" borderId="54" xfId="0" applyFont="1" applyBorder="1" applyAlignment="1" applyProtection="1">
      <alignment horizontal="center"/>
      <protection locked="0"/>
    </xf>
    <xf numFmtId="0" fontId="8" fillId="0" borderId="51" xfId="0" applyFont="1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locked="0"/>
    </xf>
    <xf numFmtId="0" fontId="0" fillId="0" borderId="61" xfId="0" applyBorder="1" applyProtection="1">
      <protection locked="0"/>
    </xf>
    <xf numFmtId="0" fontId="0" fillId="0" borderId="100" xfId="0" applyBorder="1" applyAlignment="1" applyProtection="1">
      <alignment horizontal="center"/>
      <protection locked="0"/>
    </xf>
    <xf numFmtId="0" fontId="0" fillId="0" borderId="62" xfId="0" applyBorder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46" fillId="0" borderId="25" xfId="0" applyFont="1" applyBorder="1" applyAlignment="1" applyProtection="1">
      <alignment horizontal="center" vertical="center"/>
      <protection locked="0"/>
    </xf>
    <xf numFmtId="2" fontId="0" fillId="0" borderId="44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0" fillId="16" borderId="13" xfId="0" applyFill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14" borderId="36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8" fillId="14" borderId="86" xfId="0" applyFont="1" applyFill="1" applyBorder="1" applyAlignment="1" applyProtection="1">
      <alignment horizontal="center"/>
      <protection locked="0"/>
    </xf>
    <xf numFmtId="0" fontId="8" fillId="14" borderId="87" xfId="0" applyFont="1" applyFill="1" applyBorder="1" applyAlignment="1" applyProtection="1">
      <alignment horizontal="center"/>
      <protection locked="0"/>
    </xf>
    <xf numFmtId="0" fontId="0" fillId="14" borderId="93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8" fillId="14" borderId="94" xfId="0" applyFont="1" applyFill="1" applyBorder="1" applyAlignment="1" applyProtection="1">
      <alignment horizontal="center"/>
      <protection locked="0"/>
    </xf>
    <xf numFmtId="0" fontId="0" fillId="14" borderId="40" xfId="0" applyFill="1" applyBorder="1" applyAlignment="1" applyProtection="1">
      <alignment horizontal="center"/>
      <protection locked="0"/>
    </xf>
    <xf numFmtId="0" fontId="0" fillId="14" borderId="90" xfId="0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26" fillId="0" borderId="0" xfId="3" applyFont="1" applyAlignment="1" applyProtection="1">
      <alignment horizontal="left" wrapText="1"/>
      <protection locked="0"/>
    </xf>
    <xf numFmtId="0" fontId="58" fillId="0" borderId="3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3" fillId="27" borderId="0" xfId="0" applyFont="1" applyFill="1" applyAlignment="1" applyProtection="1">
      <alignment horizontal="center" vertical="top" wrapText="1"/>
      <protection locked="0"/>
    </xf>
    <xf numFmtId="2" fontId="58" fillId="4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20" borderId="13" xfId="0" applyFont="1" applyFill="1" applyBorder="1" applyAlignment="1" applyProtection="1">
      <alignment horizontal="center" vertical="center" wrapText="1"/>
      <protection locked="0"/>
    </xf>
    <xf numFmtId="0" fontId="6" fillId="20" borderId="13" xfId="0" applyFont="1" applyFill="1" applyBorder="1" applyAlignment="1" applyProtection="1">
      <alignment horizontal="center" vertical="center"/>
      <protection locked="0"/>
    </xf>
    <xf numFmtId="0" fontId="6" fillId="20" borderId="13" xfId="0" applyFont="1" applyFill="1" applyBorder="1" applyAlignment="1" applyProtection="1">
      <alignment horizontal="center" wrapText="1"/>
      <protection locked="0"/>
    </xf>
    <xf numFmtId="2" fontId="3" fillId="21" borderId="13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0" borderId="37" xfId="6" applyBorder="1" applyAlignment="1" applyProtection="1">
      <alignment horizontal="center"/>
      <protection locked="0"/>
    </xf>
    <xf numFmtId="0" fontId="27" fillId="0" borderId="1" xfId="6" applyFont="1" applyBorder="1" applyAlignment="1" applyProtection="1">
      <alignment horizontal="center"/>
      <protection locked="0"/>
    </xf>
    <xf numFmtId="0" fontId="2" fillId="0" borderId="36" xfId="6" applyBorder="1" applyAlignment="1" applyProtection="1">
      <alignment horizontal="center"/>
      <protection locked="0"/>
    </xf>
    <xf numFmtId="0" fontId="2" fillId="0" borderId="39" xfId="6" applyBorder="1" applyAlignment="1" applyProtection="1">
      <alignment horizontal="center"/>
      <protection locked="0"/>
    </xf>
    <xf numFmtId="0" fontId="27" fillId="0" borderId="40" xfId="6" applyFont="1" applyBorder="1" applyAlignment="1" applyProtection="1">
      <alignment horizontal="center"/>
      <protection locked="0"/>
    </xf>
    <xf numFmtId="0" fontId="2" fillId="0" borderId="40" xfId="6" applyBorder="1" applyAlignment="1" applyProtection="1">
      <alignment horizontal="center"/>
      <protection locked="0"/>
    </xf>
    <xf numFmtId="0" fontId="2" fillId="0" borderId="35" xfId="6" applyBorder="1" applyAlignment="1" applyProtection="1">
      <alignment horizontal="center"/>
      <protection locked="0"/>
    </xf>
    <xf numFmtId="0" fontId="8" fillId="0" borderId="63" xfId="6" applyFont="1" applyBorder="1" applyAlignment="1" applyProtection="1">
      <alignment horizontal="center"/>
      <protection locked="0"/>
    </xf>
    <xf numFmtId="0" fontId="8" fillId="0" borderId="41" xfId="6" applyFont="1" applyBorder="1" applyAlignment="1" applyProtection="1">
      <alignment horizontal="center"/>
      <protection locked="0"/>
    </xf>
    <xf numFmtId="0" fontId="8" fillId="0" borderId="99" xfId="6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left" vertical="top" wrapText="1"/>
      <protection locked="0"/>
    </xf>
    <xf numFmtId="0" fontId="8" fillId="0" borderId="1" xfId="6" applyFont="1" applyBorder="1" applyAlignment="1" applyProtection="1">
      <alignment horizontal="center"/>
      <protection locked="0"/>
    </xf>
    <xf numFmtId="0" fontId="8" fillId="0" borderId="36" xfId="6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left" vertical="top" wrapText="1"/>
      <protection locked="0"/>
    </xf>
    <xf numFmtId="0" fontId="26" fillId="0" borderId="0" xfId="0" applyFont="1" applyAlignment="1" applyProtection="1">
      <alignment horizontal="left" vertical="top" wrapText="1"/>
      <protection locked="0"/>
    </xf>
  </cellXfs>
  <cellStyles count="10">
    <cellStyle name="Currency" xfId="2" builtinId="4"/>
    <cellStyle name="Followed Hyperlink" xfId="4" builtinId="9" hidden="1"/>
    <cellStyle name="Hyperlink" xfId="1" builtinId="8"/>
    <cellStyle name="Millares 2" xfId="9" xr:uid="{00000000-0005-0000-0000-000009000000}"/>
    <cellStyle name="Moneda 2" xfId="6" xr:uid="{00000000-0005-0000-0000-000006000000}"/>
    <cellStyle name="Normal" xfId="0" builtinId="0"/>
    <cellStyle name="Normal 2" xfId="3" xr:uid="{00000000-0005-0000-0000-000003000000}"/>
    <cellStyle name="Normal 3" xfId="5" xr:uid="{00000000-0005-0000-0000-000005000000}"/>
    <cellStyle name="Normal 3 2" xfId="7" xr:uid="{00000000-0005-0000-0000-000007000000}"/>
    <cellStyle name="Porcentaje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microsoft.com/office/2017/10/relationships/person" Target="persons/perso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50"/>
    <pageSetUpPr fitToPage="1"/>
  </sheetPr>
  <dimension ref="A1:N123"/>
  <sheetViews>
    <sheetView zoomScaleNormal="100" workbookViewId="0">
      <selection activeCell="B35" sqref="B35:B38"/>
    </sheetView>
    <sheetView tabSelected="1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10.140625" customWidth="1"/>
    <col min="3" max="3" width="14.5703125" customWidth="1"/>
    <col min="4" max="4" width="13.85546875" customWidth="1"/>
    <col min="5" max="5" width="13.140625" customWidth="1"/>
    <col min="6" max="6" width="8.140625" customWidth="1"/>
    <col min="7" max="7" width="10.85546875" customWidth="1"/>
    <col min="8" max="8" width="6.140625" customWidth="1"/>
    <col min="9" max="9" width="6.42578125" customWidth="1"/>
    <col min="10" max="10" width="7" customWidth="1"/>
    <col min="11" max="11" width="6.140625" customWidth="1"/>
    <col min="18" max="18" width="8.140625" customWidth="1"/>
  </cols>
  <sheetData>
    <row r="1" spans="1:14" ht="14.25" customHeight="1" thickTop="1" thickBot="1" x14ac:dyDescent="0.25">
      <c r="A1" s="822"/>
      <c r="B1" s="823"/>
      <c r="C1" s="824"/>
      <c r="D1" s="841" t="str">
        <f>'Front Page'!$A$13</f>
        <v>Mechanical  Calculations</v>
      </c>
      <c r="E1" s="842"/>
      <c r="F1" s="842"/>
      <c r="G1" s="842"/>
      <c r="H1" s="842"/>
      <c r="I1" s="842"/>
      <c r="J1" s="842"/>
      <c r="K1" s="843"/>
      <c r="L1" s="5"/>
      <c r="M1" s="5"/>
      <c r="N1" s="5"/>
    </row>
    <row r="2" spans="1:14" ht="14.25" customHeight="1" thickBot="1" x14ac:dyDescent="0.25">
      <c r="A2" s="825"/>
      <c r="B2" s="809"/>
      <c r="C2" s="826"/>
      <c r="D2" s="840"/>
      <c r="E2" s="831"/>
      <c r="F2" s="831"/>
      <c r="G2" s="831"/>
      <c r="H2" s="831"/>
      <c r="I2" s="831"/>
      <c r="J2" s="831"/>
      <c r="K2" s="832"/>
      <c r="L2" s="5"/>
      <c r="M2" s="5"/>
      <c r="N2" s="5"/>
    </row>
    <row r="3" spans="1:14" ht="14.25" customHeight="1" thickBot="1" x14ac:dyDescent="0.25">
      <c r="A3" s="827"/>
      <c r="B3" s="828"/>
      <c r="C3" s="829"/>
      <c r="D3" s="840" t="s">
        <v>0</v>
      </c>
      <c r="E3" s="831"/>
      <c r="F3" s="831"/>
      <c r="G3" s="831"/>
      <c r="H3" s="831"/>
      <c r="I3" s="831"/>
      <c r="J3" s="831"/>
      <c r="K3" s="832"/>
      <c r="L3" s="5"/>
      <c r="M3" s="5"/>
      <c r="N3" s="5"/>
    </row>
    <row r="4" spans="1:14" ht="14.25" customHeight="1" thickBot="1" x14ac:dyDescent="0.3">
      <c r="A4" s="830"/>
      <c r="B4" s="831"/>
      <c r="C4" s="832"/>
      <c r="D4" s="839" t="s">
        <v>1</v>
      </c>
      <c r="E4" s="832"/>
      <c r="F4" s="837"/>
      <c r="G4" s="832"/>
      <c r="H4" s="845" t="s">
        <v>2</v>
      </c>
      <c r="I4" s="832"/>
      <c r="J4" s="846"/>
      <c r="K4" s="832"/>
      <c r="L4" s="5"/>
      <c r="M4" s="5"/>
      <c r="N4" s="5"/>
    </row>
    <row r="5" spans="1:14" ht="14.25" customHeight="1" thickBot="1" x14ac:dyDescent="0.3">
      <c r="A5" s="833"/>
      <c r="B5" s="834"/>
      <c r="C5" s="835"/>
      <c r="D5" s="838" t="s">
        <v>4</v>
      </c>
      <c r="E5" s="835"/>
      <c r="F5" s="836"/>
      <c r="G5" s="835"/>
      <c r="H5" s="844" t="s">
        <v>5</v>
      </c>
      <c r="I5" s="835"/>
      <c r="J5" s="836"/>
      <c r="K5" s="835"/>
      <c r="L5" s="5"/>
      <c r="M5" s="5"/>
      <c r="N5" s="5"/>
    </row>
    <row r="6" spans="1:14" ht="12.75" customHeight="1" thickTop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.5" customHeight="1" x14ac:dyDescent="0.2">
      <c r="A7" s="808"/>
      <c r="B7" s="809"/>
      <c r="C7" s="809"/>
      <c r="D7" s="810"/>
      <c r="E7" s="809"/>
      <c r="F7" s="809"/>
      <c r="G7" s="809"/>
      <c r="H7" s="809"/>
      <c r="I7" s="809"/>
      <c r="J7" s="809"/>
      <c r="K7" s="809"/>
      <c r="L7" s="5"/>
      <c r="M7" s="5"/>
      <c r="N7" s="5"/>
    </row>
    <row r="8" spans="1:14" ht="9.75" customHeight="1" x14ac:dyDescent="0.2">
      <c r="A8" s="809"/>
      <c r="B8" s="809"/>
      <c r="C8" s="809"/>
      <c r="D8" s="810"/>
      <c r="E8" s="809"/>
      <c r="F8" s="809"/>
      <c r="G8" s="809"/>
      <c r="H8" s="809"/>
      <c r="I8" s="809"/>
      <c r="J8" s="809"/>
      <c r="K8" s="809"/>
      <c r="L8" s="5"/>
      <c r="M8" s="5"/>
      <c r="N8" s="5"/>
    </row>
    <row r="9" spans="1:14" ht="5.25" customHeight="1" x14ac:dyDescent="0.2">
      <c r="A9" s="809"/>
      <c r="B9" s="809"/>
      <c r="C9" s="809"/>
      <c r="D9" s="810"/>
      <c r="E9" s="809"/>
      <c r="F9" s="809"/>
      <c r="G9" s="809"/>
      <c r="H9" s="809"/>
      <c r="I9" s="809"/>
      <c r="J9" s="809"/>
      <c r="K9" s="809"/>
      <c r="L9" s="5"/>
      <c r="M9" s="5"/>
      <c r="N9" s="5"/>
    </row>
    <row r="10" spans="1:14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86.2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5.75" customHeight="1" x14ac:dyDescent="0.2">
      <c r="A13" s="814" t="s">
        <v>6</v>
      </c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5"/>
      <c r="M13" s="5"/>
      <c r="N13" s="5"/>
    </row>
    <row r="14" spans="1:14" ht="15" customHeight="1" x14ac:dyDescent="0.2">
      <c r="A14" s="809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5"/>
      <c r="M14" s="5"/>
      <c r="N14" s="5"/>
    </row>
    <row r="15" spans="1:14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">
      <c r="A18" s="814" t="s">
        <v>7</v>
      </c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5"/>
      <c r="M18" s="5"/>
      <c r="N18" s="5"/>
    </row>
    <row r="19" spans="1:14" ht="16.5" customHeight="1" x14ac:dyDescent="0.2">
      <c r="A19" s="809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5"/>
      <c r="M19" s="5"/>
      <c r="N19" s="5"/>
    </row>
    <row r="20" spans="1:14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5" customHeight="1" x14ac:dyDescent="0.2">
      <c r="A21" s="890"/>
      <c r="B21" s="809"/>
      <c r="C21" s="809"/>
      <c r="D21" s="809"/>
      <c r="E21" s="809"/>
      <c r="F21" s="809"/>
      <c r="G21" s="809"/>
      <c r="H21" s="809"/>
      <c r="I21" s="809"/>
      <c r="J21" s="809"/>
      <c r="K21" s="809"/>
      <c r="L21" s="5"/>
      <c r="M21" s="5"/>
      <c r="N21" s="5"/>
    </row>
    <row r="22" spans="1:14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20.25" customHeight="1" x14ac:dyDescent="0.2">
      <c r="A24" s="890"/>
      <c r="B24" s="809"/>
      <c r="C24" s="809"/>
      <c r="D24" s="809"/>
      <c r="E24" s="809"/>
      <c r="F24" s="809"/>
      <c r="G24" s="809"/>
      <c r="H24" s="809"/>
      <c r="I24" s="809"/>
      <c r="J24" s="809"/>
      <c r="K24" s="809"/>
      <c r="L24" s="5"/>
      <c r="M24" s="5"/>
      <c r="N24" s="5"/>
    </row>
    <row r="25" spans="1:14" ht="12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3.5" customHeight="1" thickBo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30.6" customHeight="1" thickBot="1" x14ac:dyDescent="0.25">
      <c r="A35" s="15"/>
      <c r="B35" s="16"/>
      <c r="C35" s="17"/>
      <c r="D35" s="18"/>
      <c r="E35" s="18"/>
      <c r="F35" s="892"/>
      <c r="G35" s="831"/>
      <c r="H35" s="831"/>
      <c r="I35" s="831"/>
      <c r="J35" s="831"/>
      <c r="K35" s="832"/>
      <c r="L35" s="5"/>
      <c r="M35" s="5"/>
      <c r="N35" s="5"/>
    </row>
    <row r="36" spans="1:14" ht="15.75" customHeight="1" thickBot="1" x14ac:dyDescent="0.25">
      <c r="A36" s="15"/>
      <c r="B36" s="17"/>
      <c r="C36" s="17"/>
      <c r="D36" s="18"/>
      <c r="E36" s="18"/>
      <c r="F36" s="891"/>
      <c r="G36" s="831"/>
      <c r="H36" s="831"/>
      <c r="I36" s="831"/>
      <c r="J36" s="831"/>
      <c r="K36" s="832"/>
      <c r="L36" s="5"/>
      <c r="M36" s="5"/>
      <c r="N36" s="5"/>
    </row>
    <row r="37" spans="1:14" ht="22.35" customHeight="1" thickBot="1" x14ac:dyDescent="0.25">
      <c r="A37" s="15"/>
      <c r="B37" s="17"/>
      <c r="C37" s="17"/>
      <c r="D37" s="18"/>
      <c r="E37" s="18"/>
      <c r="F37" s="891"/>
      <c r="G37" s="831"/>
      <c r="H37" s="831"/>
      <c r="I37" s="831"/>
      <c r="J37" s="831"/>
      <c r="K37" s="832"/>
      <c r="L37" s="5"/>
      <c r="M37" s="5"/>
      <c r="N37" s="5"/>
    </row>
    <row r="38" spans="1:14" ht="24.6" customHeight="1" thickBot="1" x14ac:dyDescent="0.25">
      <c r="A38" s="15"/>
      <c r="B38" s="17"/>
      <c r="C38" s="17"/>
      <c r="D38" s="18"/>
      <c r="E38" s="18"/>
      <c r="F38" s="891"/>
      <c r="G38" s="831"/>
      <c r="H38" s="831"/>
      <c r="I38" s="831"/>
      <c r="J38" s="831"/>
      <c r="K38" s="832"/>
      <c r="L38" s="5"/>
      <c r="M38" s="5"/>
      <c r="N38" s="5"/>
    </row>
    <row r="39" spans="1:14" ht="13.5" customHeight="1" thickBot="1" x14ac:dyDescent="0.25">
      <c r="A39" s="19" t="s">
        <v>8</v>
      </c>
      <c r="B39" s="20" t="s">
        <v>9</v>
      </c>
      <c r="C39" s="20" t="s">
        <v>10</v>
      </c>
      <c r="D39" s="20" t="s">
        <v>11</v>
      </c>
      <c r="E39" s="20" t="s">
        <v>12</v>
      </c>
      <c r="F39" s="888" t="s">
        <v>13</v>
      </c>
      <c r="G39" s="831"/>
      <c r="H39" s="831"/>
      <c r="I39" s="831"/>
      <c r="J39" s="831"/>
      <c r="K39" s="832"/>
      <c r="L39" s="5"/>
      <c r="M39" s="5"/>
      <c r="N39" s="5"/>
    </row>
    <row r="40" spans="1:14" ht="24.75" customHeight="1" thickBot="1" x14ac:dyDescent="0.25">
      <c r="A40" s="21"/>
      <c r="B40" s="22" t="s">
        <v>14</v>
      </c>
      <c r="C40" s="22" t="s">
        <v>15</v>
      </c>
      <c r="D40" s="22" t="s">
        <v>16</v>
      </c>
      <c r="E40" s="22" t="s">
        <v>17</v>
      </c>
      <c r="F40" s="889" t="s">
        <v>18</v>
      </c>
      <c r="G40" s="834"/>
      <c r="H40" s="834"/>
      <c r="I40" s="834"/>
      <c r="J40" s="834"/>
      <c r="K40" s="835"/>
      <c r="L40" s="5"/>
      <c r="M40" s="5"/>
      <c r="N40" s="5"/>
    </row>
    <row r="41" spans="1:14" ht="14.25" customHeight="1" thickTop="1" thickBo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4.25" customHeight="1" thickTop="1" thickBot="1" x14ac:dyDescent="0.25">
      <c r="A42" s="886"/>
      <c r="B42" s="823"/>
      <c r="C42" s="823"/>
      <c r="D42" s="823"/>
      <c r="E42" s="823"/>
      <c r="F42" s="823"/>
      <c r="G42" s="823"/>
      <c r="H42" s="823"/>
      <c r="I42" s="823"/>
      <c r="J42" s="823"/>
      <c r="K42" s="871"/>
      <c r="L42" s="5"/>
      <c r="M42" s="5"/>
      <c r="N42" s="5"/>
    </row>
    <row r="43" spans="1:14" ht="13.5" customHeight="1" thickBot="1" x14ac:dyDescent="0.25">
      <c r="A43" s="827"/>
      <c r="B43" s="828"/>
      <c r="C43" s="828"/>
      <c r="D43" s="828"/>
      <c r="E43" s="828"/>
      <c r="F43" s="828"/>
      <c r="G43" s="828"/>
      <c r="H43" s="828"/>
      <c r="I43" s="828"/>
      <c r="J43" s="828"/>
      <c r="K43" s="857"/>
      <c r="L43" s="5"/>
      <c r="M43" s="5"/>
      <c r="N43" s="5"/>
    </row>
    <row r="44" spans="1:14" ht="13.5" customHeight="1" thickBot="1" x14ac:dyDescent="0.25">
      <c r="A44" s="887"/>
      <c r="B44" s="848"/>
      <c r="C44" s="848"/>
      <c r="D44" s="848"/>
      <c r="E44" s="848"/>
      <c r="F44" s="848"/>
      <c r="G44" s="848"/>
      <c r="H44" s="848"/>
      <c r="I44" s="848"/>
      <c r="J44" s="848"/>
      <c r="K44" s="849"/>
      <c r="L44" s="5"/>
      <c r="M44" s="5"/>
      <c r="N44" s="5"/>
    </row>
    <row r="45" spans="1:14" ht="13.5" customHeight="1" thickBot="1" x14ac:dyDescent="0.25">
      <c r="A45" s="827"/>
      <c r="B45" s="828"/>
      <c r="C45" s="828"/>
      <c r="D45" s="828"/>
      <c r="E45" s="828"/>
      <c r="F45" s="828"/>
      <c r="G45" s="828"/>
      <c r="H45" s="828"/>
      <c r="I45" s="828"/>
      <c r="J45" s="828"/>
      <c r="K45" s="857"/>
      <c r="L45" s="5"/>
      <c r="M45" s="5"/>
      <c r="N45" s="5"/>
    </row>
    <row r="46" spans="1:14" ht="15" customHeight="1" thickTop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3.5" customHeight="1" thickBot="1" x14ac:dyDescent="0.25">
      <c r="A55" s="25"/>
      <c r="B55" s="25"/>
      <c r="C55" s="25"/>
      <c r="D55" s="25"/>
      <c r="E55" s="25"/>
      <c r="F55" s="25"/>
      <c r="G55" s="25"/>
      <c r="H55" s="25"/>
      <c r="I55" s="5"/>
      <c r="J55" s="25"/>
      <c r="K55" s="5"/>
      <c r="L55" s="5"/>
      <c r="M55" s="5"/>
      <c r="N55" s="5"/>
    </row>
    <row r="56" spans="1:14" ht="13.5" customHeight="1" thickTop="1" x14ac:dyDescent="0.2">
      <c r="A56" s="885"/>
      <c r="B56" s="823"/>
      <c r="C56" s="823"/>
      <c r="D56" s="823"/>
      <c r="E56" s="823"/>
      <c r="F56" s="823"/>
      <c r="G56" s="823"/>
      <c r="H56" s="823"/>
      <c r="I56" s="823"/>
      <c r="J56" s="871"/>
      <c r="K56" s="5"/>
      <c r="L56" s="5"/>
      <c r="M56" s="5"/>
      <c r="N56" s="5"/>
    </row>
    <row r="57" spans="1:14" x14ac:dyDescent="0.2">
      <c r="A57" s="882"/>
      <c r="B57" s="883"/>
      <c r="C57" s="883"/>
      <c r="D57" s="883"/>
      <c r="E57" s="883"/>
      <c r="F57" s="883"/>
      <c r="G57" s="883"/>
      <c r="H57" s="883"/>
      <c r="I57" s="883"/>
      <c r="J57" s="884"/>
      <c r="K57" s="5"/>
      <c r="L57" s="5"/>
      <c r="M57" s="5"/>
      <c r="N57" s="5"/>
    </row>
    <row r="58" spans="1:14" x14ac:dyDescent="0.2">
      <c r="A58" s="879"/>
      <c r="B58" s="880"/>
      <c r="C58" s="880"/>
      <c r="D58" s="880"/>
      <c r="E58" s="880"/>
      <c r="F58" s="880"/>
      <c r="G58" s="880"/>
      <c r="H58" s="880"/>
      <c r="I58" s="880"/>
      <c r="J58" s="881"/>
      <c r="K58" s="5"/>
      <c r="L58" s="5"/>
      <c r="M58" s="5"/>
      <c r="N58" s="5"/>
    </row>
    <row r="59" spans="1:14" ht="13.5" customHeight="1" thickBot="1" x14ac:dyDescent="0.25">
      <c r="A59" s="882"/>
      <c r="B59" s="883"/>
      <c r="C59" s="883"/>
      <c r="D59" s="883"/>
      <c r="E59" s="883"/>
      <c r="F59" s="883"/>
      <c r="G59" s="883"/>
      <c r="H59" s="883"/>
      <c r="I59" s="883"/>
      <c r="J59" s="884"/>
      <c r="K59" s="5"/>
      <c r="L59" s="5"/>
      <c r="M59" s="5"/>
      <c r="N59" s="5"/>
    </row>
    <row r="60" spans="1:14" ht="13.5" customHeight="1" thickTop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3.5" customHeight="1" thickBo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6.5" customHeight="1" thickTop="1" x14ac:dyDescent="0.25">
      <c r="A64" s="28"/>
      <c r="B64" s="4"/>
      <c r="C64" s="870"/>
      <c r="D64" s="823"/>
      <c r="E64" s="823"/>
      <c r="F64" s="823"/>
      <c r="G64" s="823"/>
      <c r="H64" s="871"/>
      <c r="I64" s="5"/>
      <c r="J64" s="5"/>
      <c r="K64" s="5"/>
      <c r="L64" s="5"/>
      <c r="M64" s="5"/>
      <c r="N64" s="5"/>
    </row>
    <row r="65" spans="1:14" ht="16.5" customHeight="1" thickBot="1" x14ac:dyDescent="0.3">
      <c r="A65" s="6"/>
      <c r="B65" s="5"/>
      <c r="C65" s="872"/>
      <c r="D65" s="828"/>
      <c r="E65" s="828"/>
      <c r="F65" s="828"/>
      <c r="G65" s="828"/>
      <c r="H65" s="857"/>
      <c r="I65" s="5"/>
      <c r="J65" s="5"/>
      <c r="K65" s="5"/>
      <c r="L65" s="5"/>
      <c r="M65" s="5"/>
      <c r="N65" s="5"/>
    </row>
    <row r="66" spans="1:14" ht="13.5" customHeight="1" thickBot="1" x14ac:dyDescent="0.25">
      <c r="A66" s="8"/>
      <c r="B66" s="9"/>
      <c r="C66" s="853"/>
      <c r="D66" s="831"/>
      <c r="E66" s="831"/>
      <c r="F66" s="831"/>
      <c r="G66" s="831"/>
      <c r="H66" s="854"/>
      <c r="I66" s="5"/>
      <c r="J66" s="5"/>
      <c r="K66" s="5"/>
      <c r="L66" s="5"/>
      <c r="M66" s="5"/>
      <c r="N66" s="5"/>
    </row>
    <row r="67" spans="1:14" ht="15" customHeight="1" x14ac:dyDescent="0.25">
      <c r="A67" s="873"/>
      <c r="B67" s="865"/>
      <c r="C67" s="874"/>
      <c r="D67" s="875"/>
      <c r="E67" s="876"/>
      <c r="F67" s="875"/>
      <c r="G67" s="877"/>
      <c r="H67" s="878"/>
      <c r="I67" s="5"/>
      <c r="J67" s="5"/>
      <c r="K67" s="5"/>
      <c r="L67" s="5"/>
      <c r="M67" s="5"/>
      <c r="N67" s="5"/>
    </row>
    <row r="68" spans="1:14" ht="12.75" customHeight="1" thickBot="1" x14ac:dyDescent="0.3">
      <c r="A68" s="860"/>
      <c r="B68" s="861"/>
      <c r="C68" s="29"/>
      <c r="D68" s="30"/>
      <c r="E68" s="862"/>
      <c r="F68" s="863"/>
      <c r="G68" s="31"/>
      <c r="H68" s="32"/>
      <c r="I68" s="5"/>
      <c r="J68" s="5"/>
      <c r="K68" s="5"/>
      <c r="L68" s="5"/>
      <c r="M68" s="5"/>
      <c r="N68" s="5"/>
    </row>
    <row r="69" spans="1:14" ht="12.75" customHeight="1" thickTop="1" x14ac:dyDescent="0.2">
      <c r="A69" s="4"/>
      <c r="B69" s="4"/>
      <c r="C69" s="4"/>
      <c r="D69" s="4"/>
      <c r="E69" s="4"/>
      <c r="F69" s="4"/>
      <c r="G69" s="4"/>
      <c r="H69" s="4"/>
      <c r="I69" s="5"/>
      <c r="J69" s="5"/>
      <c r="K69" s="5"/>
      <c r="L69" s="5"/>
      <c r="M69" s="5"/>
      <c r="N69" s="5"/>
    </row>
    <row r="70" spans="1:14" ht="12.75" customHeight="1" thickBo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864"/>
      <c r="B71" s="865"/>
      <c r="C71" s="868" t="s">
        <v>21</v>
      </c>
      <c r="D71" s="848"/>
      <c r="E71" s="848"/>
      <c r="F71" s="848"/>
      <c r="G71" s="848"/>
      <c r="H71" s="865"/>
      <c r="I71" s="864"/>
      <c r="J71" s="848"/>
      <c r="K71" s="865"/>
      <c r="L71" s="5"/>
      <c r="M71" s="5"/>
      <c r="N71" s="5"/>
    </row>
    <row r="72" spans="1:14" ht="12.75" customHeight="1" x14ac:dyDescent="0.2">
      <c r="A72" s="866"/>
      <c r="B72" s="826"/>
      <c r="C72" s="866"/>
      <c r="D72" s="809"/>
      <c r="E72" s="809"/>
      <c r="F72" s="809"/>
      <c r="G72" s="809"/>
      <c r="H72" s="826"/>
      <c r="I72" s="866"/>
      <c r="J72" s="809"/>
      <c r="K72" s="826"/>
      <c r="L72" s="5"/>
      <c r="M72" s="5"/>
      <c r="N72" s="5"/>
    </row>
    <row r="73" spans="1:14" ht="12.75" customHeight="1" x14ac:dyDescent="0.2">
      <c r="A73" s="866"/>
      <c r="B73" s="826"/>
      <c r="C73" s="866"/>
      <c r="D73" s="809"/>
      <c r="E73" s="809"/>
      <c r="F73" s="809"/>
      <c r="G73" s="809"/>
      <c r="H73" s="826"/>
      <c r="I73" s="866"/>
      <c r="J73" s="809"/>
      <c r="K73" s="826"/>
      <c r="L73" s="5"/>
      <c r="M73" s="5"/>
      <c r="N73" s="5"/>
    </row>
    <row r="74" spans="1:14" ht="12.75" customHeight="1" thickBot="1" x14ac:dyDescent="0.25">
      <c r="A74" s="867"/>
      <c r="B74" s="829"/>
      <c r="C74" s="867"/>
      <c r="D74" s="828"/>
      <c r="E74" s="828"/>
      <c r="F74" s="828"/>
      <c r="G74" s="828"/>
      <c r="H74" s="829"/>
      <c r="I74" s="867"/>
      <c r="J74" s="828"/>
      <c r="K74" s="829"/>
      <c r="L74" s="5"/>
      <c r="M74" s="5"/>
      <c r="N74" s="5"/>
    </row>
    <row r="75" spans="1:14" ht="12.75" customHeight="1" x14ac:dyDescent="0.2">
      <c r="A75" s="868" t="s">
        <v>22</v>
      </c>
      <c r="B75" s="848"/>
      <c r="C75" s="848"/>
      <c r="D75" s="848"/>
      <c r="E75" s="848"/>
      <c r="F75" s="848"/>
      <c r="G75" s="848"/>
      <c r="H75" s="865"/>
      <c r="I75" s="5"/>
      <c r="J75" s="5"/>
      <c r="K75" s="36" t="s">
        <v>23</v>
      </c>
      <c r="L75" s="5"/>
      <c r="M75" s="5"/>
      <c r="N75" s="5"/>
    </row>
    <row r="76" spans="1:14" x14ac:dyDescent="0.2">
      <c r="A76" s="866"/>
      <c r="B76" s="809"/>
      <c r="C76" s="809"/>
      <c r="D76" s="809"/>
      <c r="E76" s="809"/>
      <c r="F76" s="809"/>
      <c r="G76" s="809"/>
      <c r="H76" s="826"/>
      <c r="I76" s="5"/>
      <c r="J76" s="5"/>
      <c r="K76" s="37"/>
      <c r="L76" s="5"/>
      <c r="M76" s="5"/>
      <c r="N76" s="5"/>
    </row>
    <row r="77" spans="1:14" ht="12.75" customHeight="1" x14ac:dyDescent="0.2">
      <c r="A77" s="866"/>
      <c r="B77" s="809"/>
      <c r="C77" s="809"/>
      <c r="D77" s="809"/>
      <c r="E77" s="809"/>
      <c r="F77" s="809"/>
      <c r="G77" s="809"/>
      <c r="H77" s="826"/>
      <c r="I77" s="5"/>
      <c r="J77" s="5"/>
      <c r="K77" s="37" t="s">
        <v>24</v>
      </c>
      <c r="L77" s="5"/>
      <c r="M77" s="5"/>
      <c r="N77" s="5"/>
    </row>
    <row r="78" spans="1:14" ht="12.75" customHeight="1" thickBot="1" x14ac:dyDescent="0.25">
      <c r="A78" s="867"/>
      <c r="B78" s="828"/>
      <c r="C78" s="828"/>
      <c r="D78" s="828"/>
      <c r="E78" s="828"/>
      <c r="F78" s="828"/>
      <c r="G78" s="828"/>
      <c r="H78" s="829"/>
      <c r="I78" s="38"/>
      <c r="J78" s="39"/>
      <c r="K78" s="40"/>
      <c r="L78" s="5"/>
      <c r="M78" s="5"/>
      <c r="N78" s="5"/>
    </row>
    <row r="79" spans="1:14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818" t="s">
        <v>25</v>
      </c>
      <c r="B80" s="812"/>
      <c r="C80" s="813"/>
      <c r="D80" s="869"/>
      <c r="E80" s="812"/>
      <c r="F80" s="812"/>
      <c r="G80" s="812"/>
      <c r="H80" s="812"/>
      <c r="I80" s="812"/>
      <c r="J80" s="812"/>
      <c r="K80" s="813"/>
      <c r="L80" s="5"/>
      <c r="M80" s="5"/>
      <c r="N80" s="5"/>
    </row>
    <row r="81" spans="1:14" x14ac:dyDescent="0.2">
      <c r="A81" s="818" t="s">
        <v>26</v>
      </c>
      <c r="B81" s="812"/>
      <c r="C81" s="813"/>
      <c r="D81" s="819"/>
      <c r="E81" s="812"/>
      <c r="F81" s="812"/>
      <c r="G81" s="812"/>
      <c r="H81" s="812"/>
      <c r="I81" s="812"/>
      <c r="J81" s="812"/>
      <c r="K81" s="813"/>
      <c r="L81" s="5"/>
      <c r="M81" s="5"/>
      <c r="N81" s="5"/>
    </row>
    <row r="82" spans="1:14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5.75" customHeight="1" x14ac:dyDescent="0.25">
      <c r="A84" s="820" t="s">
        <v>27</v>
      </c>
      <c r="B84" s="809"/>
      <c r="C84" s="809"/>
      <c r="D84" s="809"/>
      <c r="E84" s="809"/>
      <c r="F84" s="809"/>
      <c r="G84" s="809"/>
      <c r="H84" s="809"/>
      <c r="I84" s="809"/>
      <c r="J84" s="809"/>
      <c r="K84" s="809"/>
      <c r="L84" s="5"/>
      <c r="M84" s="5"/>
      <c r="N84" s="5"/>
    </row>
    <row r="85" spans="1:14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4" t="s">
        <v>28</v>
      </c>
      <c r="B86" s="44" t="s">
        <v>9</v>
      </c>
      <c r="C86" s="821" t="s">
        <v>29</v>
      </c>
      <c r="D86" s="813"/>
      <c r="E86" s="821" t="s">
        <v>30</v>
      </c>
      <c r="F86" s="813"/>
      <c r="G86" s="821" t="s">
        <v>31</v>
      </c>
      <c r="H86" s="812"/>
      <c r="I86" s="812"/>
      <c r="J86" s="812"/>
      <c r="K86" s="813"/>
      <c r="L86" s="5"/>
      <c r="M86" s="5"/>
      <c r="N86" s="5"/>
    </row>
    <row r="87" spans="1:14" x14ac:dyDescent="0.2">
      <c r="A87" s="45"/>
      <c r="B87" s="46"/>
      <c r="C87" s="815"/>
      <c r="D87" s="813"/>
      <c r="E87" s="815"/>
      <c r="F87" s="813"/>
      <c r="G87" s="815"/>
      <c r="H87" s="812"/>
      <c r="I87" s="812"/>
      <c r="J87" s="812"/>
      <c r="K87" s="813"/>
      <c r="L87" s="5"/>
      <c r="M87" s="5"/>
      <c r="N87" s="5"/>
    </row>
    <row r="88" spans="1:14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5"/>
      <c r="M88" s="5"/>
      <c r="N88" s="5"/>
    </row>
    <row r="89" spans="1:14" x14ac:dyDescent="0.2">
      <c r="A89" s="816" t="s">
        <v>32</v>
      </c>
      <c r="B89" s="809"/>
      <c r="C89" s="809"/>
      <c r="D89" s="809"/>
      <c r="E89" s="809"/>
      <c r="F89" s="809"/>
      <c r="G89" s="809"/>
      <c r="H89" s="809"/>
      <c r="I89" s="809"/>
      <c r="J89" s="809"/>
      <c r="K89" s="809"/>
      <c r="L89" s="5"/>
      <c r="M89" s="5"/>
      <c r="N89" s="5"/>
    </row>
    <row r="90" spans="1:14" x14ac:dyDescent="0.2">
      <c r="A90" s="48"/>
      <c r="B90" s="48"/>
      <c r="C90" s="49" t="s">
        <v>33</v>
      </c>
      <c r="D90" s="817" t="s">
        <v>34</v>
      </c>
      <c r="E90" s="812"/>
      <c r="F90" s="812"/>
      <c r="G90" s="812"/>
      <c r="H90" s="812"/>
      <c r="I90" s="813"/>
      <c r="J90" s="48"/>
      <c r="K90" s="48"/>
      <c r="L90" s="5"/>
      <c r="M90" s="5"/>
      <c r="N90" s="5"/>
    </row>
    <row r="91" spans="1:14" x14ac:dyDescent="0.2">
      <c r="A91" s="50"/>
      <c r="B91" s="50"/>
      <c r="C91" s="51"/>
      <c r="D91" s="811"/>
      <c r="E91" s="812"/>
      <c r="F91" s="812"/>
      <c r="G91" s="812"/>
      <c r="H91" s="812"/>
      <c r="I91" s="813"/>
      <c r="J91" s="50"/>
      <c r="K91" s="50"/>
      <c r="L91" s="5"/>
      <c r="M91" s="5"/>
      <c r="N91" s="5"/>
    </row>
    <row r="92" spans="1:14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3.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3.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3.5" customHeight="1" thickBot="1" x14ac:dyDescent="0.25">
      <c r="A112" s="25"/>
      <c r="B112" s="25"/>
      <c r="C112" s="25"/>
      <c r="D112" s="25"/>
      <c r="E112" s="25"/>
      <c r="F112" s="25"/>
      <c r="G112" s="25"/>
      <c r="H112" s="25"/>
      <c r="I112" s="5"/>
      <c r="J112" s="5"/>
      <c r="K112" s="5"/>
      <c r="L112" s="5"/>
      <c r="M112" s="5"/>
      <c r="N112" s="5"/>
    </row>
    <row r="113" spans="1:14" ht="13.5" customHeight="1" thickTop="1" thickBot="1" x14ac:dyDescent="0.25">
      <c r="A113" s="52"/>
      <c r="B113" s="53"/>
      <c r="C113" s="53"/>
      <c r="D113" s="53"/>
      <c r="E113" s="53"/>
      <c r="F113" s="858"/>
      <c r="G113" s="842"/>
      <c r="H113" s="859"/>
      <c r="I113" s="5"/>
      <c r="J113" s="5"/>
      <c r="K113" s="5"/>
      <c r="L113" s="5"/>
      <c r="M113" s="5"/>
      <c r="N113" s="5"/>
    </row>
    <row r="114" spans="1:14" ht="13.5" customHeight="1" thickBot="1" x14ac:dyDescent="0.25">
      <c r="A114" s="54"/>
      <c r="B114" s="55"/>
      <c r="C114" s="55"/>
      <c r="D114" s="55"/>
      <c r="E114" s="55"/>
      <c r="F114" s="853"/>
      <c r="G114" s="831"/>
      <c r="H114" s="854"/>
      <c r="I114" s="5"/>
      <c r="J114" s="5"/>
      <c r="K114" s="5"/>
      <c r="L114" s="5"/>
      <c r="M114" s="5"/>
      <c r="N114" s="5"/>
    </row>
    <row r="115" spans="1:14" ht="12.75" customHeight="1" thickBot="1" x14ac:dyDescent="0.25">
      <c r="A115" s="54"/>
      <c r="B115" s="56"/>
      <c r="C115" s="56"/>
      <c r="D115" s="56"/>
      <c r="E115" s="56"/>
      <c r="F115" s="853"/>
      <c r="G115" s="831"/>
      <c r="H115" s="854"/>
      <c r="I115" s="5"/>
      <c r="J115" s="5"/>
      <c r="K115" s="5"/>
      <c r="L115" s="5"/>
      <c r="M115" s="5"/>
      <c r="N115" s="5"/>
    </row>
    <row r="116" spans="1:14" ht="13.5" customHeight="1" thickBot="1" x14ac:dyDescent="0.25">
      <c r="A116" s="57"/>
      <c r="B116" s="56"/>
      <c r="C116" s="56"/>
      <c r="D116" s="56"/>
      <c r="E116" s="56"/>
      <c r="F116" s="853"/>
      <c r="G116" s="831"/>
      <c r="H116" s="854"/>
      <c r="I116" s="5"/>
      <c r="J116" s="5"/>
      <c r="K116" s="5"/>
      <c r="L116" s="5"/>
      <c r="M116" s="5"/>
      <c r="N116" s="5"/>
    </row>
    <row r="117" spans="1:14" ht="12.75" customHeight="1" thickBot="1" x14ac:dyDescent="0.25">
      <c r="A117" s="58"/>
      <c r="B117" s="59" t="s">
        <v>9</v>
      </c>
      <c r="C117" s="59" t="s">
        <v>35</v>
      </c>
      <c r="D117" s="59" t="s">
        <v>36</v>
      </c>
      <c r="E117" s="59" t="s">
        <v>37</v>
      </c>
      <c r="F117" s="855" t="s">
        <v>13</v>
      </c>
      <c r="G117" s="831"/>
      <c r="H117" s="854"/>
      <c r="I117" s="5"/>
      <c r="J117" s="5"/>
      <c r="K117" s="5"/>
      <c r="L117" s="5"/>
      <c r="M117" s="5"/>
      <c r="N117" s="5"/>
    </row>
    <row r="118" spans="1:14" ht="13.5" customHeight="1" thickBot="1" x14ac:dyDescent="0.25">
      <c r="A118" s="58" t="s">
        <v>38</v>
      </c>
      <c r="B118" s="59" t="s">
        <v>14</v>
      </c>
      <c r="C118" s="59" t="s">
        <v>15</v>
      </c>
      <c r="D118" s="59" t="s">
        <v>16</v>
      </c>
      <c r="E118" s="59" t="s">
        <v>17</v>
      </c>
      <c r="F118" s="855" t="s">
        <v>18</v>
      </c>
      <c r="G118" s="831"/>
      <c r="H118" s="854"/>
      <c r="I118" s="5"/>
      <c r="J118" s="5"/>
      <c r="K118" s="5"/>
      <c r="L118" s="5"/>
      <c r="M118" s="5"/>
      <c r="N118" s="5"/>
    </row>
    <row r="119" spans="1:14" x14ac:dyDescent="0.2">
      <c r="A119" s="856" t="s">
        <v>19</v>
      </c>
      <c r="B119" s="848"/>
      <c r="C119" s="848"/>
      <c r="D119" s="848"/>
      <c r="E119" s="848"/>
      <c r="F119" s="848"/>
      <c r="G119" s="848"/>
      <c r="H119" s="849"/>
      <c r="I119" s="5"/>
      <c r="J119" s="5"/>
      <c r="K119" s="5"/>
      <c r="L119" s="5"/>
      <c r="M119" s="5"/>
      <c r="N119" s="5"/>
    </row>
    <row r="120" spans="1:14" ht="13.5" customHeight="1" thickBot="1" x14ac:dyDescent="0.25">
      <c r="A120" s="827"/>
      <c r="B120" s="828"/>
      <c r="C120" s="828"/>
      <c r="D120" s="828"/>
      <c r="E120" s="828"/>
      <c r="F120" s="828"/>
      <c r="G120" s="828"/>
      <c r="H120" s="857"/>
      <c r="I120" s="5"/>
      <c r="J120" s="5"/>
      <c r="K120" s="5"/>
      <c r="L120" s="5"/>
      <c r="M120" s="5"/>
      <c r="N120" s="5"/>
    </row>
    <row r="121" spans="1:14" x14ac:dyDescent="0.2">
      <c r="A121" s="847" t="s">
        <v>20</v>
      </c>
      <c r="B121" s="848"/>
      <c r="C121" s="848"/>
      <c r="D121" s="848"/>
      <c r="E121" s="848"/>
      <c r="F121" s="848"/>
      <c r="G121" s="848"/>
      <c r="H121" s="849"/>
      <c r="I121" s="5"/>
      <c r="J121" s="5"/>
      <c r="K121" s="5"/>
      <c r="L121" s="5"/>
      <c r="M121" s="5"/>
      <c r="N121" s="5"/>
    </row>
    <row r="122" spans="1:14" ht="13.5" customHeight="1" thickBot="1" x14ac:dyDescent="0.25">
      <c r="A122" s="850"/>
      <c r="B122" s="851"/>
      <c r="C122" s="851"/>
      <c r="D122" s="851"/>
      <c r="E122" s="851"/>
      <c r="F122" s="851"/>
      <c r="G122" s="851"/>
      <c r="H122" s="852"/>
      <c r="I122" s="5"/>
      <c r="J122" s="5"/>
      <c r="K122" s="5"/>
      <c r="L122" s="5"/>
      <c r="M122" s="5"/>
      <c r="N122" s="5"/>
    </row>
    <row r="123" spans="1:14" ht="13.5" customHeight="1" thickTop="1" x14ac:dyDescent="0.2"/>
  </sheetData>
  <mergeCells count="67">
    <mergeCell ref="A21:K21"/>
    <mergeCell ref="F37:K37"/>
    <mergeCell ref="F35:K35"/>
    <mergeCell ref="F36:K36"/>
    <mergeCell ref="F38:K38"/>
    <mergeCell ref="A24:K24"/>
    <mergeCell ref="A58:J59"/>
    <mergeCell ref="A56:J57"/>
    <mergeCell ref="A42:K43"/>
    <mergeCell ref="A44:K45"/>
    <mergeCell ref="F39:K39"/>
    <mergeCell ref="F40:K40"/>
    <mergeCell ref="C64:H64"/>
    <mergeCell ref="C65:H65"/>
    <mergeCell ref="C66:H66"/>
    <mergeCell ref="A67:B67"/>
    <mergeCell ref="C67:D67"/>
    <mergeCell ref="E67:F67"/>
    <mergeCell ref="G67:H67"/>
    <mergeCell ref="F113:H113"/>
    <mergeCell ref="F114:H114"/>
    <mergeCell ref="F115:H115"/>
    <mergeCell ref="A68:B68"/>
    <mergeCell ref="E68:F68"/>
    <mergeCell ref="E86:F86"/>
    <mergeCell ref="G86:K86"/>
    <mergeCell ref="A71:B74"/>
    <mergeCell ref="C71:H74"/>
    <mergeCell ref="I71:K74"/>
    <mergeCell ref="A75:H78"/>
    <mergeCell ref="A80:C80"/>
    <mergeCell ref="D80:K80"/>
    <mergeCell ref="A121:H122"/>
    <mergeCell ref="F116:H116"/>
    <mergeCell ref="F117:H117"/>
    <mergeCell ref="F118:H118"/>
    <mergeCell ref="A119:H120"/>
    <mergeCell ref="A1:C3"/>
    <mergeCell ref="A4:C4"/>
    <mergeCell ref="A5:C5"/>
    <mergeCell ref="F5:G5"/>
    <mergeCell ref="F4:G4"/>
    <mergeCell ref="D5:E5"/>
    <mergeCell ref="D4:E4"/>
    <mergeCell ref="D3:K3"/>
    <mergeCell ref="D2:K2"/>
    <mergeCell ref="D1:K1"/>
    <mergeCell ref="H5:I5"/>
    <mergeCell ref="H4:I4"/>
    <mergeCell ref="J4:K4"/>
    <mergeCell ref="J5:K5"/>
    <mergeCell ref="A7:C9"/>
    <mergeCell ref="D7:K7"/>
    <mergeCell ref="D8:K8"/>
    <mergeCell ref="D9:K9"/>
    <mergeCell ref="D91:I91"/>
    <mergeCell ref="A18:K19"/>
    <mergeCell ref="A13:K14"/>
    <mergeCell ref="C87:D87"/>
    <mergeCell ref="E87:F87"/>
    <mergeCell ref="G87:K87"/>
    <mergeCell ref="A89:K89"/>
    <mergeCell ref="D90:I90"/>
    <mergeCell ref="A81:C81"/>
    <mergeCell ref="D81:K81"/>
    <mergeCell ref="A84:K84"/>
    <mergeCell ref="C86:D86"/>
  </mergeCells>
  <pageMargins left="0.74803149606299213" right="0.74803149606299213" top="0.98425196850393704" bottom="0.98425196850393704" header="0" footer="0"/>
  <pageSetup paperSize="9" scale="85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249977111117893"/>
  </sheetPr>
  <dimension ref="A1:N115"/>
  <sheetViews>
    <sheetView workbookViewId="0">
      <selection activeCell="C42" sqref="C42:E44"/>
    </sheetView>
    <sheetView tabSelected="1" workbookViewId="1">
      <selection sqref="A1:AK5"/>
    </sheetView>
  </sheetViews>
  <sheetFormatPr defaultColWidth="11.42578125" defaultRowHeight="12.75" x14ac:dyDescent="0.2"/>
  <cols>
    <col min="1" max="1" width="6.85546875" customWidth="1"/>
    <col min="2" max="2" width="9.42578125" customWidth="1"/>
    <col min="3" max="3" width="10.42578125" customWidth="1"/>
    <col min="4" max="4" width="11.140625" bestFit="1" customWidth="1"/>
    <col min="5" max="5" width="12" bestFit="1" customWidth="1"/>
    <col min="6" max="6" width="6" customWidth="1"/>
    <col min="7" max="8" width="8.85546875" customWidth="1"/>
    <col min="9" max="9" width="7.140625" customWidth="1"/>
    <col min="10" max="10" width="5" customWidth="1"/>
    <col min="11" max="11" width="9" customWidth="1"/>
    <col min="18" max="18" width="8.140625" customWidth="1"/>
  </cols>
  <sheetData>
    <row r="1" spans="1:14" ht="16.5" customHeight="1" thickBot="1" x14ac:dyDescent="0.3">
      <c r="A1" s="846"/>
      <c r="B1" s="848"/>
      <c r="C1" s="865"/>
      <c r="D1" s="953" t="s">
        <v>677</v>
      </c>
      <c r="E1" s="831"/>
      <c r="F1" s="831"/>
      <c r="G1" s="831"/>
      <c r="H1" s="831"/>
      <c r="I1" s="831"/>
      <c r="J1" s="831"/>
      <c r="K1" s="832"/>
      <c r="L1" s="5"/>
      <c r="M1" s="5"/>
      <c r="N1" s="5"/>
    </row>
    <row r="2" spans="1:14" ht="16.5" customHeight="1" thickBot="1" x14ac:dyDescent="0.3">
      <c r="A2" s="866"/>
      <c r="B2" s="809"/>
      <c r="C2" s="826"/>
      <c r="D2" s="953"/>
      <c r="E2" s="831"/>
      <c r="F2" s="831"/>
      <c r="G2" s="831"/>
      <c r="H2" s="831"/>
      <c r="I2" s="831"/>
      <c r="J2" s="831"/>
      <c r="K2" s="832"/>
      <c r="L2" s="5"/>
      <c r="M2" s="5"/>
      <c r="N2" s="5"/>
    </row>
    <row r="3" spans="1:14" ht="16.5" customHeight="1" thickBot="1" x14ac:dyDescent="0.3">
      <c r="A3" s="867"/>
      <c r="B3" s="828"/>
      <c r="C3" s="829"/>
      <c r="D3" s="953" t="s">
        <v>678</v>
      </c>
      <c r="E3" s="831"/>
      <c r="F3" s="831"/>
      <c r="G3" s="831"/>
      <c r="H3" s="831"/>
      <c r="I3" s="831"/>
      <c r="J3" s="831"/>
      <c r="K3" s="832"/>
      <c r="L3" s="5"/>
      <c r="M3" s="5"/>
      <c r="N3" s="5"/>
    </row>
    <row r="4" spans="1:14" ht="15.75" customHeight="1" thickBot="1" x14ac:dyDescent="0.3">
      <c r="A4" s="846"/>
      <c r="B4" s="831"/>
      <c r="C4" s="832"/>
      <c r="D4" s="959" t="str">
        <f>'Front Page'!D4</f>
        <v>Doc Nº</v>
      </c>
      <c r="E4" s="960"/>
      <c r="F4" s="961"/>
      <c r="G4" s="962"/>
      <c r="H4" s="961"/>
      <c r="I4" s="964" t="s">
        <v>2</v>
      </c>
      <c r="J4" s="961"/>
      <c r="K4" s="307"/>
      <c r="L4" s="5"/>
      <c r="M4" s="5"/>
      <c r="N4" s="3"/>
    </row>
    <row r="5" spans="1:14" ht="15.75" customHeight="1" thickBot="1" x14ac:dyDescent="0.3">
      <c r="A5" s="846"/>
      <c r="B5" s="831"/>
      <c r="C5" s="832"/>
      <c r="D5" s="959" t="str">
        <f>'Front Page'!D5</f>
        <v>Project</v>
      </c>
      <c r="E5" s="960"/>
      <c r="F5" s="961"/>
      <c r="G5" s="963"/>
      <c r="H5" s="961"/>
      <c r="I5" s="964" t="s">
        <v>5</v>
      </c>
      <c r="J5" s="961"/>
      <c r="K5" s="13"/>
      <c r="L5" s="5"/>
      <c r="M5" s="5"/>
      <c r="N5" s="5"/>
    </row>
    <row r="6" spans="1:14" ht="12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2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2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.7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8.75" customHeight="1" x14ac:dyDescent="0.2">
      <c r="A13" s="814" t="s">
        <v>679</v>
      </c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5"/>
      <c r="M13" s="5"/>
      <c r="N13" s="5"/>
    </row>
    <row r="14" spans="1:14" ht="18" customHeight="1" x14ac:dyDescent="0.2">
      <c r="A14" s="809"/>
      <c r="B14" s="809"/>
      <c r="C14" s="809"/>
      <c r="D14" s="809"/>
      <c r="E14" s="809"/>
      <c r="F14" s="809"/>
      <c r="G14" s="809"/>
      <c r="H14" s="809"/>
      <c r="I14" s="809"/>
      <c r="J14" s="809"/>
      <c r="K14" s="809"/>
      <c r="L14" s="5"/>
      <c r="M14" s="5"/>
      <c r="N14" s="5"/>
    </row>
    <row r="15" spans="1:14" x14ac:dyDescent="0.2">
      <c r="A15" s="808"/>
      <c r="B15" s="809"/>
      <c r="C15" s="809"/>
      <c r="D15" s="809"/>
      <c r="E15" s="809"/>
      <c r="F15" s="809"/>
      <c r="G15" s="809"/>
      <c r="H15" s="809"/>
      <c r="I15" s="809"/>
      <c r="J15" s="809"/>
      <c r="K15" s="5"/>
      <c r="L15" s="5"/>
      <c r="M15" s="5"/>
      <c r="N15" s="5"/>
    </row>
    <row r="16" spans="1:14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5" customHeight="1" x14ac:dyDescent="0.2">
      <c r="A18" s="814" t="s">
        <v>680</v>
      </c>
      <c r="B18" s="809"/>
      <c r="C18" s="809"/>
      <c r="D18" s="809"/>
      <c r="E18" s="809"/>
      <c r="F18" s="809"/>
      <c r="G18" s="809"/>
      <c r="H18" s="809"/>
      <c r="I18" s="809"/>
      <c r="J18" s="809"/>
      <c r="K18" s="809"/>
      <c r="L18" s="5"/>
      <c r="M18" s="5"/>
      <c r="N18" s="5"/>
    </row>
    <row r="19" spans="1:14" ht="14.25" customHeight="1" x14ac:dyDescent="0.2">
      <c r="A19" s="809"/>
      <c r="B19" s="809"/>
      <c r="C19" s="809"/>
      <c r="D19" s="809"/>
      <c r="E19" s="809"/>
      <c r="F19" s="809"/>
      <c r="G19" s="809"/>
      <c r="H19" s="809"/>
      <c r="I19" s="809"/>
      <c r="J19" s="809"/>
      <c r="K19" s="809"/>
      <c r="L19" s="5"/>
      <c r="M19" s="5"/>
      <c r="N19" s="5"/>
    </row>
    <row r="20" spans="1:14" x14ac:dyDescent="0.2">
      <c r="A20" s="808"/>
      <c r="B20" s="809"/>
      <c r="C20" s="809"/>
      <c r="D20" s="809"/>
      <c r="E20" s="809"/>
      <c r="F20" s="809"/>
      <c r="G20" s="809"/>
      <c r="H20" s="809"/>
      <c r="I20" s="809"/>
      <c r="J20" s="809"/>
      <c r="K20" s="5"/>
      <c r="L20" s="5"/>
      <c r="M20" s="5"/>
      <c r="N20" s="5"/>
    </row>
    <row r="21" spans="1:14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">
      <c r="A23" s="808">
        <f>D2</f>
        <v>0</v>
      </c>
      <c r="B23" s="809"/>
      <c r="C23" s="809"/>
      <c r="D23" s="809"/>
      <c r="E23" s="809"/>
      <c r="F23" s="809"/>
      <c r="G23" s="809"/>
      <c r="H23" s="809"/>
      <c r="I23" s="809"/>
      <c r="J23" s="809"/>
      <c r="K23" s="809"/>
      <c r="L23" s="5"/>
      <c r="M23" s="5"/>
      <c r="N23" s="5"/>
    </row>
    <row r="24" spans="1:14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2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2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308"/>
      <c r="B39" s="5"/>
      <c r="C39" s="5"/>
      <c r="D39" s="5"/>
      <c r="E39" s="5"/>
      <c r="F39" s="5"/>
      <c r="G39" s="5"/>
      <c r="H39" s="5"/>
      <c r="I39" s="308"/>
      <c r="J39" s="308"/>
      <c r="K39" s="5"/>
      <c r="L39" s="5"/>
      <c r="M39" s="5"/>
      <c r="N39" s="5"/>
    </row>
    <row r="40" spans="1:14" ht="13.5" customHeight="1" thickBot="1" x14ac:dyDescent="0.25">
      <c r="A40" s="308"/>
      <c r="B40" s="5"/>
      <c r="C40" s="5"/>
      <c r="D40" s="5"/>
      <c r="E40" s="5"/>
      <c r="F40" s="5"/>
      <c r="G40" s="5"/>
      <c r="H40" s="5"/>
      <c r="I40" s="308"/>
      <c r="J40" s="308"/>
      <c r="K40" s="5"/>
      <c r="L40" s="5"/>
      <c r="M40" s="5"/>
      <c r="N40" s="5"/>
    </row>
    <row r="41" spans="1:14" ht="15.75" customHeight="1" thickBot="1" x14ac:dyDescent="0.25">
      <c r="A41" s="309"/>
      <c r="B41" s="55"/>
      <c r="C41" s="55"/>
      <c r="D41" s="310"/>
      <c r="E41" s="310"/>
      <c r="F41" s="846"/>
      <c r="G41" s="831"/>
      <c r="H41" s="831"/>
      <c r="I41" s="831"/>
      <c r="J41" s="831"/>
      <c r="K41" s="832"/>
      <c r="L41" s="5"/>
      <c r="M41" s="5"/>
      <c r="N41" s="5"/>
    </row>
    <row r="42" spans="1:14" ht="13.5" customHeight="1" thickBot="1" x14ac:dyDescent="0.25">
      <c r="A42" s="311"/>
      <c r="B42" s="312"/>
      <c r="C42" s="18"/>
      <c r="D42" s="18"/>
      <c r="E42" s="18"/>
      <c r="F42" s="891"/>
      <c r="G42" s="831"/>
      <c r="H42" s="831"/>
      <c r="I42" s="831"/>
      <c r="J42" s="831"/>
      <c r="K42" s="832"/>
      <c r="L42" s="5"/>
      <c r="M42" s="5"/>
      <c r="N42" s="5"/>
    </row>
    <row r="43" spans="1:14" ht="13.5" customHeight="1" thickBot="1" x14ac:dyDescent="0.25">
      <c r="A43" s="311"/>
      <c r="B43" s="5"/>
      <c r="C43" s="18"/>
      <c r="D43" s="18"/>
      <c r="E43" s="18"/>
      <c r="F43" s="891"/>
      <c r="G43" s="831"/>
      <c r="H43" s="831"/>
      <c r="I43" s="831"/>
      <c r="J43" s="831"/>
      <c r="K43" s="832"/>
      <c r="L43" s="5"/>
      <c r="M43" s="5"/>
      <c r="N43" s="5"/>
    </row>
    <row r="44" spans="1:14" ht="13.5" customHeight="1" thickBot="1" x14ac:dyDescent="0.25">
      <c r="A44" s="311"/>
      <c r="B44" s="17"/>
      <c r="C44" s="18"/>
      <c r="D44" s="18"/>
      <c r="E44" s="18"/>
      <c r="F44" s="966"/>
      <c r="G44" s="831"/>
      <c r="H44" s="831"/>
      <c r="I44" s="831"/>
      <c r="J44" s="831"/>
      <c r="K44" s="832"/>
      <c r="L44" s="5"/>
      <c r="M44" s="5"/>
      <c r="N44" s="5"/>
    </row>
    <row r="45" spans="1:14" ht="13.5" customHeight="1" thickBot="1" x14ac:dyDescent="0.25">
      <c r="A45" s="12" t="s">
        <v>8</v>
      </c>
      <c r="B45" s="59" t="s">
        <v>9</v>
      </c>
      <c r="C45" s="59" t="s">
        <v>10</v>
      </c>
      <c r="D45" s="59" t="s">
        <v>11</v>
      </c>
      <c r="E45" s="59" t="s">
        <v>12</v>
      </c>
      <c r="F45" s="965" t="s">
        <v>13</v>
      </c>
      <c r="G45" s="831"/>
      <c r="H45" s="831"/>
      <c r="I45" s="831"/>
      <c r="J45" s="831"/>
      <c r="K45" s="832"/>
      <c r="L45" s="5"/>
      <c r="M45" s="5"/>
      <c r="N45" s="5"/>
    </row>
    <row r="46" spans="1:14" ht="24.75" customHeight="1" thickBot="1" x14ac:dyDescent="0.25">
      <c r="A46" s="13"/>
      <c r="B46" s="59" t="s">
        <v>14</v>
      </c>
      <c r="C46" s="59" t="s">
        <v>15</v>
      </c>
      <c r="D46" s="59" t="s">
        <v>16</v>
      </c>
      <c r="E46" s="59" t="s">
        <v>17</v>
      </c>
      <c r="F46" s="965" t="s">
        <v>18</v>
      </c>
      <c r="G46" s="831"/>
      <c r="H46" s="831"/>
      <c r="I46" s="831"/>
      <c r="J46" s="831"/>
      <c r="K46" s="832"/>
      <c r="L46" s="5"/>
      <c r="M46" s="5"/>
      <c r="N46" s="5"/>
    </row>
    <row r="47" spans="1:14" ht="13.5" customHeight="1" thickBo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3.5" customHeight="1" thickBot="1" x14ac:dyDescent="0.25">
      <c r="A48" s="958"/>
      <c r="B48" s="848"/>
      <c r="C48" s="848"/>
      <c r="D48" s="848"/>
      <c r="E48" s="848"/>
      <c r="F48" s="848"/>
      <c r="G48" s="848"/>
      <c r="H48" s="848"/>
      <c r="I48" s="848"/>
      <c r="J48" s="848"/>
      <c r="K48" s="865"/>
      <c r="L48" s="5"/>
      <c r="M48" s="5"/>
      <c r="N48" s="5"/>
    </row>
    <row r="49" spans="1:14" ht="13.5" customHeight="1" thickBot="1" x14ac:dyDescent="0.25">
      <c r="A49" s="867"/>
      <c r="B49" s="828"/>
      <c r="C49" s="828"/>
      <c r="D49" s="828"/>
      <c r="E49" s="828"/>
      <c r="F49" s="828"/>
      <c r="G49" s="828"/>
      <c r="H49" s="828"/>
      <c r="I49" s="828"/>
      <c r="J49" s="828"/>
      <c r="K49" s="829"/>
      <c r="L49" s="5"/>
      <c r="M49" s="5"/>
      <c r="N49" s="5"/>
    </row>
    <row r="50" spans="1:14" ht="12.75" customHeight="1" thickBot="1" x14ac:dyDescent="0.25">
      <c r="A50" s="958"/>
      <c r="B50" s="848"/>
      <c r="C50" s="848"/>
      <c r="D50" s="848"/>
      <c r="E50" s="848"/>
      <c r="F50" s="848"/>
      <c r="G50" s="848"/>
      <c r="H50" s="848"/>
      <c r="I50" s="848"/>
      <c r="J50" s="848"/>
      <c r="K50" s="865"/>
      <c r="L50" s="5"/>
      <c r="M50" s="5"/>
      <c r="N50" s="5"/>
    </row>
    <row r="51" spans="1:14" ht="13.5" customHeight="1" thickBot="1" x14ac:dyDescent="0.25">
      <c r="A51" s="867"/>
      <c r="B51" s="828"/>
      <c r="C51" s="828"/>
      <c r="D51" s="828"/>
      <c r="E51" s="828"/>
      <c r="F51" s="828"/>
      <c r="G51" s="828"/>
      <c r="H51" s="828"/>
      <c r="I51" s="828"/>
      <c r="J51" s="828"/>
      <c r="K51" s="829"/>
      <c r="L51" s="5"/>
      <c r="M51" s="5"/>
      <c r="N51" s="5"/>
    </row>
    <row r="52" spans="1:14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thickBo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6.5" customHeight="1" thickTop="1" x14ac:dyDescent="0.25">
      <c r="A55" s="28"/>
      <c r="B55" s="4"/>
      <c r="C55" s="870" t="s">
        <v>681</v>
      </c>
      <c r="D55" s="823"/>
      <c r="E55" s="823"/>
      <c r="F55" s="823"/>
      <c r="G55" s="823"/>
      <c r="H55" s="871"/>
      <c r="I55" s="5"/>
      <c r="J55" s="5"/>
      <c r="K55" s="5"/>
      <c r="L55" s="5"/>
      <c r="M55" s="5"/>
      <c r="N55" s="5"/>
    </row>
    <row r="56" spans="1:14" ht="16.5" customHeight="1" thickBot="1" x14ac:dyDescent="0.3">
      <c r="A56" s="6"/>
      <c r="B56" s="5"/>
      <c r="C56" s="872"/>
      <c r="D56" s="828"/>
      <c r="E56" s="828"/>
      <c r="F56" s="828"/>
      <c r="G56" s="828"/>
      <c r="H56" s="857"/>
      <c r="I56" s="5"/>
      <c r="J56" s="5"/>
      <c r="K56" s="5"/>
      <c r="L56" s="5"/>
      <c r="M56" s="5"/>
      <c r="N56" s="5"/>
    </row>
    <row r="57" spans="1:14" ht="13.5" customHeight="1" thickBot="1" x14ac:dyDescent="0.25">
      <c r="A57" s="8"/>
      <c r="B57" s="9"/>
      <c r="C57" s="853"/>
      <c r="D57" s="831"/>
      <c r="E57" s="831"/>
      <c r="F57" s="831"/>
      <c r="G57" s="831"/>
      <c r="H57" s="854"/>
      <c r="I57" s="5"/>
      <c r="J57" s="5"/>
      <c r="K57" s="5"/>
      <c r="L57" s="5"/>
      <c r="M57" s="5"/>
      <c r="N57" s="5"/>
    </row>
    <row r="58" spans="1:14" ht="15" customHeight="1" x14ac:dyDescent="0.25">
      <c r="A58" s="873"/>
      <c r="B58" s="865"/>
      <c r="C58" s="874" t="s">
        <v>1</v>
      </c>
      <c r="D58" s="875"/>
      <c r="E58" s="876"/>
      <c r="F58" s="875"/>
      <c r="G58" s="877"/>
      <c r="H58" s="878"/>
      <c r="I58" s="5"/>
      <c r="J58" s="5"/>
      <c r="K58" s="5"/>
      <c r="L58" s="5"/>
      <c r="M58" s="5"/>
      <c r="N58" s="5"/>
    </row>
    <row r="59" spans="1:14" ht="15.75" customHeight="1" thickBot="1" x14ac:dyDescent="0.3">
      <c r="A59" s="860"/>
      <c r="B59" s="861"/>
      <c r="C59" s="29" t="s">
        <v>682</v>
      </c>
      <c r="D59" s="30"/>
      <c r="E59" s="862"/>
      <c r="F59" s="863"/>
      <c r="G59" s="31" t="s">
        <v>5</v>
      </c>
      <c r="H59" s="32"/>
      <c r="I59" s="5"/>
      <c r="J59" s="5"/>
      <c r="K59" s="5"/>
      <c r="L59" s="5"/>
      <c r="M59" s="5"/>
      <c r="N59" s="5"/>
    </row>
    <row r="60" spans="1:14" ht="13.5" customHeight="1" thickTop="1" x14ac:dyDescent="0.2">
      <c r="A60" s="4"/>
      <c r="B60" s="4"/>
      <c r="C60" s="4"/>
      <c r="D60" s="4"/>
      <c r="E60" s="4"/>
      <c r="F60" s="4"/>
      <c r="G60" s="4"/>
      <c r="H60" s="4"/>
      <c r="I60" s="5"/>
      <c r="J60" s="5"/>
      <c r="K60" s="5"/>
      <c r="L60" s="5"/>
      <c r="M60" s="5"/>
      <c r="N60" s="5"/>
    </row>
    <row r="61" spans="1:14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2.75" customHeight="1" x14ac:dyDescent="0.2">
      <c r="A67" s="814" t="s">
        <v>681</v>
      </c>
      <c r="B67" s="809"/>
      <c r="C67" s="809"/>
      <c r="D67" s="809"/>
      <c r="E67" s="809"/>
      <c r="F67" s="809"/>
      <c r="G67" s="809"/>
      <c r="H67" s="809"/>
      <c r="I67" s="5"/>
      <c r="J67" s="5"/>
      <c r="K67" s="5"/>
      <c r="L67" s="5"/>
      <c r="M67" s="5"/>
      <c r="N67" s="5"/>
    </row>
    <row r="68" spans="1:14" x14ac:dyDescent="0.2">
      <c r="A68" s="809"/>
      <c r="B68" s="809"/>
      <c r="C68" s="809"/>
      <c r="D68" s="809"/>
      <c r="E68" s="809"/>
      <c r="F68" s="809"/>
      <c r="G68" s="809"/>
      <c r="H68" s="809"/>
      <c r="I68" s="5"/>
      <c r="J68" s="5"/>
      <c r="K68" s="5"/>
      <c r="L68" s="5"/>
      <c r="M68" s="5"/>
      <c r="N68" s="5"/>
    </row>
    <row r="69" spans="1:14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2.75" customHeight="1" x14ac:dyDescent="0.2">
      <c r="A72" s="814" t="s">
        <v>7</v>
      </c>
      <c r="B72" s="809"/>
      <c r="C72" s="809"/>
      <c r="D72" s="809"/>
      <c r="E72" s="809"/>
      <c r="F72" s="809"/>
      <c r="G72" s="809"/>
      <c r="H72" s="809"/>
      <c r="I72" s="5"/>
      <c r="J72" s="5"/>
      <c r="K72" s="5"/>
      <c r="L72" s="5"/>
      <c r="M72" s="5"/>
      <c r="N72" s="5"/>
    </row>
    <row r="73" spans="1:14" x14ac:dyDescent="0.2">
      <c r="A73" s="809"/>
      <c r="B73" s="809"/>
      <c r="C73" s="809"/>
      <c r="D73" s="809"/>
      <c r="E73" s="809"/>
      <c r="F73" s="809"/>
      <c r="G73" s="809"/>
      <c r="H73" s="809"/>
      <c r="I73" s="5"/>
      <c r="J73" s="5"/>
      <c r="K73" s="5"/>
      <c r="L73" s="5"/>
      <c r="M73" s="5"/>
      <c r="N73" s="5"/>
    </row>
    <row r="74" spans="1:14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2.75" customHeight="1" x14ac:dyDescent="0.2">
      <c r="A75" s="808"/>
      <c r="B75" s="809"/>
      <c r="C75" s="809"/>
      <c r="D75" s="809"/>
      <c r="E75" s="809"/>
      <c r="F75" s="809"/>
      <c r="G75" s="809"/>
      <c r="H75" s="809"/>
      <c r="I75" s="5"/>
      <c r="J75" s="5"/>
      <c r="K75" s="5"/>
      <c r="L75" s="5"/>
      <c r="M75" s="5"/>
      <c r="N75" s="5"/>
    </row>
    <row r="76" spans="1:14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3.5" customHeight="1" thickBo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6.5" customHeight="1" thickTop="1" x14ac:dyDescent="0.25">
      <c r="A82" s="28"/>
      <c r="B82" s="4"/>
      <c r="C82" s="126"/>
      <c r="D82" s="956">
        <f>'Front Page'!A103</f>
        <v>0</v>
      </c>
      <c r="E82" s="823"/>
      <c r="F82" s="823"/>
      <c r="G82" s="823"/>
      <c r="H82" s="823"/>
      <c r="I82" s="823"/>
      <c r="J82" s="871"/>
      <c r="K82" s="5"/>
      <c r="L82" s="5"/>
      <c r="M82" s="5"/>
      <c r="N82" s="5"/>
    </row>
    <row r="83" spans="1:14" ht="16.5" customHeight="1" thickBot="1" x14ac:dyDescent="0.3">
      <c r="A83" s="6"/>
      <c r="B83" s="5"/>
      <c r="C83" s="127"/>
      <c r="D83" s="957">
        <f>'Front Page'!A111</f>
        <v>0</v>
      </c>
      <c r="E83" s="828"/>
      <c r="F83" s="828"/>
      <c r="G83" s="828"/>
      <c r="H83" s="828"/>
      <c r="I83" s="828"/>
      <c r="J83" s="857"/>
      <c r="K83" s="5"/>
      <c r="L83" s="5"/>
      <c r="M83" s="5"/>
      <c r="N83" s="5"/>
    </row>
    <row r="84" spans="1:14" ht="16.5" customHeight="1" thickBot="1" x14ac:dyDescent="0.3">
      <c r="A84" s="8"/>
      <c r="B84" s="9"/>
      <c r="C84" s="128"/>
      <c r="D84" s="929" t="s">
        <v>683</v>
      </c>
      <c r="E84" s="831"/>
      <c r="F84" s="831"/>
      <c r="G84" s="831"/>
      <c r="H84" s="831"/>
      <c r="I84" s="831"/>
      <c r="J84" s="854"/>
      <c r="K84" s="5"/>
      <c r="L84" s="5"/>
      <c r="M84" s="5"/>
      <c r="N84" s="5"/>
    </row>
    <row r="85" spans="1:14" ht="15" customHeight="1" x14ac:dyDescent="0.25">
      <c r="A85" s="873">
        <f>'Front Page'!A94</f>
        <v>0</v>
      </c>
      <c r="B85" s="848"/>
      <c r="C85" s="865"/>
      <c r="D85" s="954">
        <f>'Front Page'!D94</f>
        <v>0</v>
      </c>
      <c r="E85" s="955"/>
      <c r="F85" s="875"/>
      <c r="G85" s="876">
        <f>'Front Page'!F94</f>
        <v>0</v>
      </c>
      <c r="H85" s="875"/>
      <c r="I85" s="877"/>
      <c r="J85" s="878"/>
      <c r="K85" s="5"/>
      <c r="L85" s="5"/>
      <c r="M85" s="5"/>
      <c r="N85" s="5"/>
    </row>
    <row r="86" spans="1:14" ht="15.75" customHeight="1" thickBot="1" x14ac:dyDescent="0.3">
      <c r="A86" s="860">
        <f>'Front Page'!A95</f>
        <v>0</v>
      </c>
      <c r="B86" s="851"/>
      <c r="C86" s="861"/>
      <c r="D86" s="951">
        <f>'Front Page'!D95</f>
        <v>0</v>
      </c>
      <c r="E86" s="952"/>
      <c r="F86" s="863"/>
      <c r="G86" s="862">
        <f>'Front Page'!F95</f>
        <v>0</v>
      </c>
      <c r="H86" s="863"/>
      <c r="I86" s="31" t="s">
        <v>5</v>
      </c>
      <c r="J86" s="32">
        <f>MAX('Front Page'!A131:A136)</f>
        <v>0</v>
      </c>
      <c r="K86" s="5"/>
      <c r="L86" s="5"/>
      <c r="M86" s="5"/>
      <c r="N86" s="5"/>
    </row>
    <row r="87" spans="1:14" ht="13.5" customHeight="1" thickTop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3.5" customHeight="1" thickBot="1" x14ac:dyDescent="0.25">
      <c r="A103" s="25"/>
      <c r="B103" s="25"/>
      <c r="C103" s="25"/>
      <c r="D103" s="25"/>
      <c r="E103" s="25"/>
      <c r="F103" s="25"/>
      <c r="G103" s="25"/>
      <c r="H103" s="25"/>
      <c r="I103" s="5"/>
      <c r="J103" s="5"/>
      <c r="K103" s="5"/>
      <c r="L103" s="5"/>
      <c r="M103" s="5"/>
      <c r="N103" s="5"/>
    </row>
    <row r="104" spans="1:14" ht="16.5" customHeight="1" thickTop="1" thickBot="1" x14ac:dyDescent="0.25">
      <c r="A104" s="52"/>
      <c r="B104" s="53"/>
      <c r="C104" s="53"/>
      <c r="D104" s="53"/>
      <c r="E104" s="53"/>
      <c r="F104" s="858"/>
      <c r="G104" s="842"/>
      <c r="H104" s="859"/>
      <c r="I104" s="5"/>
      <c r="J104" s="5"/>
      <c r="K104" s="5"/>
      <c r="L104" s="5"/>
      <c r="M104" s="5"/>
      <c r="N104" s="5"/>
    </row>
    <row r="105" spans="1:14" ht="15.75" customHeight="1" thickBot="1" x14ac:dyDescent="0.25">
      <c r="A105" s="54"/>
      <c r="B105" s="55"/>
      <c r="C105" s="55"/>
      <c r="D105" s="55"/>
      <c r="E105" s="55"/>
      <c r="F105" s="853"/>
      <c r="G105" s="831"/>
      <c r="H105" s="854"/>
      <c r="I105" s="5"/>
      <c r="J105" s="5"/>
      <c r="K105" s="5"/>
      <c r="L105" s="5"/>
      <c r="M105" s="5"/>
      <c r="N105" s="5"/>
    </row>
    <row r="106" spans="1:14" ht="15.75" customHeight="1" thickBot="1" x14ac:dyDescent="0.25">
      <c r="A106" s="54"/>
      <c r="B106" s="56"/>
      <c r="C106" s="56"/>
      <c r="D106" s="56"/>
      <c r="E106" s="56"/>
      <c r="F106" s="853"/>
      <c r="G106" s="831"/>
      <c r="H106" s="854"/>
      <c r="I106" s="5"/>
      <c r="J106" s="5"/>
      <c r="K106" s="5"/>
      <c r="L106" s="5"/>
      <c r="M106" s="5"/>
      <c r="N106" s="5"/>
    </row>
    <row r="107" spans="1:14" ht="13.5" customHeight="1" thickBot="1" x14ac:dyDescent="0.25">
      <c r="A107" s="57"/>
      <c r="B107" s="56"/>
      <c r="C107" s="56"/>
      <c r="D107" s="56"/>
      <c r="E107" s="56"/>
      <c r="F107" s="853"/>
      <c r="G107" s="831"/>
      <c r="H107" s="854"/>
      <c r="I107" s="5"/>
      <c r="J107" s="5"/>
      <c r="K107" s="5"/>
      <c r="L107" s="5"/>
      <c r="M107" s="5"/>
      <c r="N107" s="5"/>
    </row>
    <row r="108" spans="1:14" ht="13.5" customHeight="1" thickBot="1" x14ac:dyDescent="0.25">
      <c r="A108" s="58"/>
      <c r="B108" s="59" t="s">
        <v>9</v>
      </c>
      <c r="C108" s="59" t="s">
        <v>35</v>
      </c>
      <c r="D108" s="59" t="s">
        <v>36</v>
      </c>
      <c r="E108" s="59" t="s">
        <v>37</v>
      </c>
      <c r="F108" s="855" t="s">
        <v>13</v>
      </c>
      <c r="G108" s="831"/>
      <c r="H108" s="854"/>
      <c r="I108" s="5"/>
      <c r="J108" s="5"/>
      <c r="K108" s="5"/>
      <c r="L108" s="5"/>
      <c r="M108" s="5"/>
      <c r="N108" s="5"/>
    </row>
    <row r="109" spans="1:14" ht="13.5" customHeight="1" thickBot="1" x14ac:dyDescent="0.25">
      <c r="A109" s="58" t="s">
        <v>38</v>
      </c>
      <c r="B109" s="59" t="s">
        <v>14</v>
      </c>
      <c r="C109" s="59" t="s">
        <v>15</v>
      </c>
      <c r="D109" s="59" t="s">
        <v>16</v>
      </c>
      <c r="E109" s="59" t="s">
        <v>17</v>
      </c>
      <c r="F109" s="855" t="s">
        <v>18</v>
      </c>
      <c r="G109" s="831"/>
      <c r="H109" s="854"/>
      <c r="I109" s="5"/>
      <c r="J109" s="5"/>
      <c r="K109" s="5"/>
      <c r="L109" s="5"/>
      <c r="M109" s="5"/>
      <c r="N109" s="5"/>
    </row>
    <row r="110" spans="1:14" x14ac:dyDescent="0.2">
      <c r="A110" s="856" t="s">
        <v>19</v>
      </c>
      <c r="B110" s="848"/>
      <c r="C110" s="848"/>
      <c r="D110" s="848"/>
      <c r="E110" s="848"/>
      <c r="F110" s="848"/>
      <c r="G110" s="848"/>
      <c r="H110" s="849"/>
      <c r="I110" s="5"/>
      <c r="J110" s="5"/>
      <c r="K110" s="5"/>
      <c r="L110" s="5"/>
      <c r="M110" s="5"/>
      <c r="N110" s="5"/>
    </row>
    <row r="111" spans="1:14" ht="13.5" customHeight="1" thickBot="1" x14ac:dyDescent="0.25">
      <c r="A111" s="827"/>
      <c r="B111" s="828"/>
      <c r="C111" s="828"/>
      <c r="D111" s="828"/>
      <c r="E111" s="828"/>
      <c r="F111" s="828"/>
      <c r="G111" s="828"/>
      <c r="H111" s="857"/>
      <c r="I111" s="5"/>
      <c r="J111" s="5"/>
      <c r="K111" s="5"/>
      <c r="L111" s="5"/>
      <c r="M111" s="5"/>
      <c r="N111" s="5"/>
    </row>
    <row r="112" spans="1:14" ht="13.5" customHeight="1" x14ac:dyDescent="0.2">
      <c r="A112" s="847" t="s">
        <v>20</v>
      </c>
      <c r="B112" s="848"/>
      <c r="C112" s="848"/>
      <c r="D112" s="848"/>
      <c r="E112" s="848"/>
      <c r="F112" s="848"/>
      <c r="G112" s="848"/>
      <c r="H112" s="849"/>
      <c r="I112" s="5"/>
      <c r="J112" s="5"/>
      <c r="K112" s="5"/>
      <c r="L112" s="5"/>
      <c r="M112" s="5"/>
      <c r="N112" s="5"/>
    </row>
    <row r="113" spans="1:14" ht="12.75" customHeight="1" thickBot="1" x14ac:dyDescent="0.25">
      <c r="A113" s="850"/>
      <c r="B113" s="851"/>
      <c r="C113" s="851"/>
      <c r="D113" s="851"/>
      <c r="E113" s="851"/>
      <c r="F113" s="851"/>
      <c r="G113" s="851"/>
      <c r="H113" s="852"/>
      <c r="I113" s="5"/>
      <c r="J113" s="5"/>
      <c r="K113" s="5"/>
      <c r="L113" s="5"/>
      <c r="M113" s="5"/>
      <c r="N113" s="5"/>
    </row>
    <row r="114" spans="1:14" ht="13.5" customHeight="1" thickTop="1" x14ac:dyDescent="0.2"/>
    <row r="115" spans="1:14" ht="12.75" customHeight="1" x14ac:dyDescent="0.2"/>
  </sheetData>
  <mergeCells count="55">
    <mergeCell ref="D4:F4"/>
    <mergeCell ref="G4:H4"/>
    <mergeCell ref="D5:F5"/>
    <mergeCell ref="G5:H5"/>
    <mergeCell ref="A48:K49"/>
    <mergeCell ref="F42:K42"/>
    <mergeCell ref="F41:K41"/>
    <mergeCell ref="A13:K14"/>
    <mergeCell ref="A18:K19"/>
    <mergeCell ref="I5:J5"/>
    <mergeCell ref="I4:J4"/>
    <mergeCell ref="A5:C5"/>
    <mergeCell ref="A4:C4"/>
    <mergeCell ref="F46:K46"/>
    <mergeCell ref="F45:K45"/>
    <mergeCell ref="F44:K44"/>
    <mergeCell ref="E58:F58"/>
    <mergeCell ref="G58:H58"/>
    <mergeCell ref="A20:J20"/>
    <mergeCell ref="A23:K23"/>
    <mergeCell ref="A50:K51"/>
    <mergeCell ref="F43:K43"/>
    <mergeCell ref="I85:J85"/>
    <mergeCell ref="A75:H75"/>
    <mergeCell ref="A1:C3"/>
    <mergeCell ref="D3:K3"/>
    <mergeCell ref="D2:K2"/>
    <mergeCell ref="D1:K1"/>
    <mergeCell ref="D85:F85"/>
    <mergeCell ref="D82:J82"/>
    <mergeCell ref="D83:J83"/>
    <mergeCell ref="D84:J84"/>
    <mergeCell ref="A15:J15"/>
    <mergeCell ref="C55:H55"/>
    <mergeCell ref="C56:H56"/>
    <mergeCell ref="C57:H57"/>
    <mergeCell ref="A58:B58"/>
    <mergeCell ref="C58:D58"/>
    <mergeCell ref="A112:H113"/>
    <mergeCell ref="F107:H107"/>
    <mergeCell ref="F108:H108"/>
    <mergeCell ref="F109:H109"/>
    <mergeCell ref="A110:H111"/>
    <mergeCell ref="F105:H105"/>
    <mergeCell ref="F106:H106"/>
    <mergeCell ref="A59:B59"/>
    <mergeCell ref="E59:F59"/>
    <mergeCell ref="A67:H68"/>
    <mergeCell ref="A72:H73"/>
    <mergeCell ref="A86:C86"/>
    <mergeCell ref="A85:C85"/>
    <mergeCell ref="G85:H85"/>
    <mergeCell ref="F104:H104"/>
    <mergeCell ref="G86:H86"/>
    <mergeCell ref="D86:F86"/>
  </mergeCells>
  <pageMargins left="0.74803149606299213" right="0.74803149606299213" top="0.98425196850393704" bottom="0.98425196850393704" header="0" footer="0"/>
  <pageSetup paperSize="9" scale="9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</sheetPr>
  <dimension ref="A1:X124"/>
  <sheetViews>
    <sheetView workbookViewId="0">
      <selection activeCell="B17" sqref="B17"/>
    </sheetView>
    <sheetView tabSelected="1" workbookViewId="1">
      <selection sqref="A1:AK5"/>
    </sheetView>
  </sheetViews>
  <sheetFormatPr defaultColWidth="11.42578125" defaultRowHeight="12.75" x14ac:dyDescent="0.2"/>
  <cols>
    <col min="1" max="12" width="14.85546875" customWidth="1"/>
    <col min="13" max="13" width="14.140625" customWidth="1"/>
    <col min="14" max="14" width="15.42578125" customWidth="1"/>
    <col min="15" max="15" width="19.140625" customWidth="1"/>
    <col min="16" max="16" width="21" customWidth="1"/>
    <col min="17" max="17" width="13" customWidth="1"/>
    <col min="18" max="18" width="8.85546875" customWidth="1"/>
    <col min="19" max="19" width="14" customWidth="1"/>
    <col min="20" max="20" width="13.42578125" customWidth="1"/>
    <col min="21" max="21" width="14.42578125" customWidth="1"/>
    <col min="22" max="22" width="19" customWidth="1"/>
    <col min="23" max="23" width="13" customWidth="1"/>
    <col min="24" max="24" width="13.140625" customWidth="1"/>
  </cols>
  <sheetData>
    <row r="1" spans="1:24" ht="17.25" customHeight="1" thickTop="1" thickBot="1" x14ac:dyDescent="0.3">
      <c r="A1" s="28"/>
      <c r="B1" s="4"/>
      <c r="C1" s="913" t="str">
        <f>'Front Page Thermal Calcs'!$D$1</f>
        <v>Thermal Calculation</v>
      </c>
      <c r="D1" s="842"/>
      <c r="E1" s="842"/>
      <c r="F1" s="843"/>
      <c r="G1" s="28"/>
      <c r="H1" s="4"/>
      <c r="I1" s="913" t="str">
        <f>'Front Page Thermal Calcs'!$D$1</f>
        <v>Thermal Calculation</v>
      </c>
      <c r="J1" s="842"/>
      <c r="K1" s="842"/>
      <c r="L1" s="843"/>
      <c r="M1" s="313"/>
      <c r="N1" s="24"/>
      <c r="O1" s="839" t="str">
        <f>'Front Page Thermal Calcs'!$D$1</f>
        <v>Thermal Calculation</v>
      </c>
      <c r="P1" s="831"/>
      <c r="Q1" s="831"/>
      <c r="R1" s="832"/>
      <c r="S1" s="313"/>
      <c r="T1" s="24"/>
      <c r="U1" s="839" t="str">
        <f>'Front Page Thermal Calcs'!$D$1</f>
        <v>Thermal Calculation</v>
      </c>
      <c r="V1" s="831"/>
      <c r="W1" s="831"/>
      <c r="X1" s="832"/>
    </row>
    <row r="2" spans="1:24" ht="16.5" customHeight="1" thickBot="1" x14ac:dyDescent="0.3">
      <c r="A2" s="6"/>
      <c r="B2" s="5"/>
      <c r="C2" s="839"/>
      <c r="D2" s="831"/>
      <c r="E2" s="831"/>
      <c r="F2" s="832"/>
      <c r="G2" s="6"/>
      <c r="H2" s="5"/>
      <c r="I2" s="839"/>
      <c r="J2" s="831"/>
      <c r="K2" s="831"/>
      <c r="L2" s="832"/>
      <c r="M2" s="34"/>
      <c r="N2" s="5"/>
      <c r="O2" s="839">
        <f>'Front Page'!$A$21</f>
        <v>0</v>
      </c>
      <c r="P2" s="831"/>
      <c r="Q2" s="831"/>
      <c r="R2" s="832"/>
      <c r="S2" s="34"/>
      <c r="T2" s="5"/>
      <c r="U2" s="839">
        <f>'Front Page'!$A$21</f>
        <v>0</v>
      </c>
      <c r="V2" s="831"/>
      <c r="W2" s="831"/>
      <c r="X2" s="832"/>
    </row>
    <row r="3" spans="1:24" ht="16.5" customHeight="1" thickBot="1" x14ac:dyDescent="0.3">
      <c r="A3" s="8"/>
      <c r="B3" s="9"/>
      <c r="C3" s="839"/>
      <c r="D3" s="831"/>
      <c r="E3" s="831"/>
      <c r="F3" s="832"/>
      <c r="G3" s="8"/>
      <c r="H3" s="9"/>
      <c r="I3" s="839"/>
      <c r="J3" s="831"/>
      <c r="K3" s="831"/>
      <c r="L3" s="832"/>
      <c r="M3" s="35"/>
      <c r="N3" s="9"/>
      <c r="O3" s="839"/>
      <c r="P3" s="831"/>
      <c r="Q3" s="831"/>
      <c r="R3" s="832"/>
      <c r="S3" s="35"/>
      <c r="T3" s="9"/>
      <c r="U3" s="839"/>
      <c r="V3" s="831"/>
      <c r="W3" s="831"/>
      <c r="X3" s="832"/>
    </row>
    <row r="4" spans="1:24" ht="15.75" customHeight="1" thickBot="1" x14ac:dyDescent="0.3">
      <c r="A4" s="974"/>
      <c r="B4" s="848"/>
      <c r="C4" s="129" t="str">
        <f>'Front Page'!$D$4</f>
        <v>Doc Nº</v>
      </c>
      <c r="D4" s="13"/>
      <c r="E4" s="846"/>
      <c r="F4" s="832"/>
      <c r="G4" s="972"/>
      <c r="H4" s="831"/>
      <c r="I4" s="129" t="str">
        <f>'Front Page'!$D$4</f>
        <v>Doc Nº</v>
      </c>
      <c r="J4" s="13"/>
      <c r="K4" s="971"/>
      <c r="L4" s="832"/>
      <c r="M4" s="967"/>
      <c r="N4" s="848"/>
      <c r="O4" s="129" t="str">
        <f>'Front Page'!$D$4</f>
        <v>Doc Nº</v>
      </c>
      <c r="P4" s="13"/>
      <c r="Q4" s="846"/>
      <c r="R4" s="832"/>
      <c r="S4" s="967"/>
      <c r="T4" s="848"/>
      <c r="U4" s="129" t="str">
        <f>'Front Page'!$D$4</f>
        <v>Doc Nº</v>
      </c>
      <c r="V4" s="13"/>
      <c r="W4" s="846"/>
      <c r="X4" s="832"/>
    </row>
    <row r="5" spans="1:24" ht="15.75" customHeight="1" thickBot="1" x14ac:dyDescent="0.3">
      <c r="A5" s="970"/>
      <c r="B5" s="851"/>
      <c r="C5" s="314" t="str">
        <f>'Front Page'!$D$5</f>
        <v>Project</v>
      </c>
      <c r="D5" s="315"/>
      <c r="E5" s="316" t="s">
        <v>5</v>
      </c>
      <c r="F5" s="317"/>
      <c r="G5" s="970"/>
      <c r="H5" s="851"/>
      <c r="I5" s="318" t="str">
        <f>'Front Page'!$D$5</f>
        <v>Project</v>
      </c>
      <c r="J5" s="315"/>
      <c r="K5" s="316" t="s">
        <v>5</v>
      </c>
      <c r="L5" s="319"/>
      <c r="M5" s="969"/>
      <c r="N5" s="828"/>
      <c r="O5" s="129" t="str">
        <f>'Front Page'!$D$5</f>
        <v>Project</v>
      </c>
      <c r="P5" s="13"/>
      <c r="Q5" s="320" t="s">
        <v>5</v>
      </c>
      <c r="R5" s="321"/>
      <c r="S5" s="969"/>
      <c r="T5" s="828"/>
      <c r="U5" s="129" t="str">
        <f>'Front Page'!$D$5</f>
        <v>Project</v>
      </c>
      <c r="V5" s="13"/>
      <c r="W5" s="320" t="s">
        <v>5</v>
      </c>
      <c r="X5" s="321"/>
    </row>
    <row r="6" spans="1:24" ht="13.5" customHeight="1" thickTop="1" x14ac:dyDescent="0.2">
      <c r="A6" s="4"/>
      <c r="B6" s="5"/>
      <c r="C6" s="5"/>
      <c r="D6" s="5"/>
      <c r="E6" s="4"/>
      <c r="F6" s="4"/>
      <c r="G6" s="4"/>
      <c r="H6" s="4"/>
      <c r="I6" s="4"/>
      <c r="J6" s="4"/>
      <c r="K6" s="4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8" customHeight="1" x14ac:dyDescent="0.25">
      <c r="A7" s="322" t="s">
        <v>684</v>
      </c>
      <c r="B7" s="322"/>
      <c r="C7" s="5"/>
      <c r="D7" s="5"/>
      <c r="E7" s="5"/>
      <c r="F7" s="5"/>
      <c r="G7" s="5"/>
      <c r="H7" s="5"/>
      <c r="I7" s="5"/>
      <c r="J7" s="5"/>
      <c r="K7" s="5"/>
      <c r="L7" s="5"/>
      <c r="M7" s="322" t="s">
        <v>684</v>
      </c>
      <c r="N7" s="322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customHeight="1" x14ac:dyDescent="0.25">
      <c r="A8" s="5"/>
      <c r="B8" s="5"/>
      <c r="C8" s="5"/>
      <c r="D8" s="5"/>
      <c r="E8" s="5"/>
      <c r="F8" s="5"/>
      <c r="G8" s="102" t="s">
        <v>685</v>
      </c>
      <c r="H8" s="323"/>
      <c r="I8" s="5"/>
      <c r="J8" s="5"/>
      <c r="K8" s="5"/>
      <c r="L8" s="5"/>
      <c r="M8" s="5"/>
      <c r="N8" s="5"/>
      <c r="O8" s="5"/>
      <c r="P8" s="5"/>
      <c r="Q8" s="5"/>
      <c r="R8" s="5"/>
      <c r="S8" s="102" t="s">
        <v>685</v>
      </c>
      <c r="T8" s="323"/>
      <c r="U8" s="5"/>
      <c r="V8" s="5"/>
      <c r="W8" s="5"/>
      <c r="X8" s="5"/>
    </row>
    <row r="9" spans="1:24" ht="14.25" customHeight="1" x14ac:dyDescent="0.2">
      <c r="A9" s="118" t="s">
        <v>686</v>
      </c>
      <c r="B9" s="118"/>
      <c r="C9" s="5"/>
      <c r="D9" s="5"/>
      <c r="E9" s="5"/>
      <c r="F9" s="5"/>
      <c r="G9" s="226" t="s">
        <v>687</v>
      </c>
      <c r="H9" s="324">
        <f>+B43*B44</f>
        <v>0.1152</v>
      </c>
      <c r="I9" s="5" t="s">
        <v>688</v>
      </c>
      <c r="J9" s="5" t="s">
        <v>689</v>
      </c>
      <c r="K9" s="5"/>
      <c r="L9" s="5"/>
      <c r="M9" s="118" t="s">
        <v>686</v>
      </c>
      <c r="N9" s="118"/>
      <c r="O9" s="5"/>
      <c r="P9" s="5"/>
      <c r="Q9" s="5"/>
      <c r="R9" s="5"/>
      <c r="S9" s="226" t="s">
        <v>687</v>
      </c>
      <c r="T9" s="324">
        <f>H9*10.764</f>
        <v>1.2400127999999999</v>
      </c>
      <c r="U9" s="64" t="s">
        <v>690</v>
      </c>
      <c r="V9" s="5" t="s">
        <v>689</v>
      </c>
      <c r="W9" s="5"/>
      <c r="X9" s="5"/>
    </row>
    <row r="10" spans="1:24" x14ac:dyDescent="0.2">
      <c r="A10" s="226"/>
      <c r="B10" s="325" t="str">
        <f>'Main Dimensions Calcs'!D9</f>
        <v>LIN</v>
      </c>
      <c r="C10" s="5" t="s">
        <v>297</v>
      </c>
      <c r="D10" s="5"/>
      <c r="E10" s="5"/>
      <c r="F10" s="5"/>
      <c r="G10" s="5"/>
      <c r="H10" s="324"/>
      <c r="I10" s="226"/>
      <c r="J10" s="326"/>
      <c r="K10" s="326"/>
      <c r="L10" s="326"/>
      <c r="M10" s="226"/>
      <c r="N10" s="325" t="str">
        <f>B10</f>
        <v>LIN</v>
      </c>
      <c r="O10" s="5" t="s">
        <v>297</v>
      </c>
      <c r="P10" s="5"/>
      <c r="Q10" s="5"/>
      <c r="R10" s="5"/>
      <c r="S10" s="5"/>
      <c r="T10" s="324"/>
      <c r="U10" s="226"/>
      <c r="V10" s="326"/>
      <c r="W10" s="326"/>
      <c r="X10" s="326"/>
    </row>
    <row r="11" spans="1:24" ht="15.75" customHeight="1" x14ac:dyDescent="0.25">
      <c r="A11" s="226" t="s">
        <v>691</v>
      </c>
      <c r="B11" s="327">
        <v>-196</v>
      </c>
      <c r="C11" s="5" t="s">
        <v>299</v>
      </c>
      <c r="D11" s="5"/>
      <c r="E11" s="5"/>
      <c r="F11" s="5"/>
      <c r="G11" s="102" t="s">
        <v>692</v>
      </c>
      <c r="H11" s="328"/>
      <c r="I11" s="226"/>
      <c r="J11" s="5"/>
      <c r="K11" s="5"/>
      <c r="L11" s="5"/>
      <c r="M11" s="226" t="s">
        <v>691</v>
      </c>
      <c r="N11" s="327">
        <f>B11*1.8+32</f>
        <v>-320.8</v>
      </c>
      <c r="O11" s="64" t="s">
        <v>693</v>
      </c>
      <c r="P11" s="5"/>
      <c r="Q11" s="5"/>
      <c r="R11" s="5"/>
      <c r="S11" s="102" t="s">
        <v>692</v>
      </c>
      <c r="T11" s="328"/>
      <c r="U11" s="226"/>
      <c r="V11" s="5"/>
      <c r="W11" s="5"/>
      <c r="X11" s="5"/>
    </row>
    <row r="12" spans="1:24" ht="14.25" customHeight="1" x14ac:dyDescent="0.2">
      <c r="A12" s="329" t="s">
        <v>694</v>
      </c>
      <c r="B12" s="327">
        <f>'Main Dimensions Calcs'!D11</f>
        <v>808</v>
      </c>
      <c r="C12" s="64" t="s">
        <v>695</v>
      </c>
      <c r="D12" s="5"/>
      <c r="E12" s="5"/>
      <c r="F12" s="5"/>
      <c r="G12" s="226" t="s">
        <v>696</v>
      </c>
      <c r="H12" s="324">
        <f>+PI()*B55*0.0005</f>
        <v>3.3388846722352317E-2</v>
      </c>
      <c r="I12" s="5" t="s">
        <v>688</v>
      </c>
      <c r="J12" s="5" t="s">
        <v>697</v>
      </c>
      <c r="K12" s="5"/>
      <c r="L12" s="5"/>
      <c r="M12" s="330" t="s">
        <v>694</v>
      </c>
      <c r="N12" s="331">
        <f>B12*0.062428</f>
        <v>50.441823999999997</v>
      </c>
      <c r="O12" s="64" t="s">
        <v>698</v>
      </c>
      <c r="P12" s="5"/>
      <c r="Q12" s="5"/>
      <c r="R12" s="5"/>
      <c r="S12" s="226" t="s">
        <v>696</v>
      </c>
      <c r="T12" s="324">
        <f>H12*10.764</f>
        <v>0.35939754611940034</v>
      </c>
      <c r="U12" s="64" t="s">
        <v>690</v>
      </c>
      <c r="V12" s="5" t="s">
        <v>697</v>
      </c>
      <c r="W12" s="5"/>
      <c r="X12" s="5"/>
    </row>
    <row r="13" spans="1:24" x14ac:dyDescent="0.2">
      <c r="A13" s="226" t="s">
        <v>699</v>
      </c>
      <c r="B13" s="327">
        <v>199</v>
      </c>
      <c r="C13" s="64" t="s">
        <v>700</v>
      </c>
      <c r="D13" s="5"/>
      <c r="E13" s="5"/>
      <c r="F13" s="5"/>
      <c r="G13" s="5"/>
      <c r="H13" s="332"/>
      <c r="I13" s="5"/>
      <c r="J13" s="5"/>
      <c r="K13" s="5"/>
      <c r="L13" s="5"/>
      <c r="M13" s="226" t="s">
        <v>699</v>
      </c>
      <c r="N13" s="327">
        <f>B13*0.43</f>
        <v>85.57</v>
      </c>
      <c r="O13" s="64" t="s">
        <v>701</v>
      </c>
      <c r="P13" s="5"/>
      <c r="Q13" s="5"/>
      <c r="R13" s="5"/>
      <c r="S13" s="5"/>
      <c r="T13" s="324"/>
      <c r="U13" s="5"/>
      <c r="V13" s="5"/>
      <c r="W13" s="5"/>
      <c r="X13" s="5"/>
    </row>
    <row r="14" spans="1:24" ht="15.75" customHeight="1" x14ac:dyDescent="0.25">
      <c r="A14" s="329" t="s">
        <v>702</v>
      </c>
      <c r="B14" s="333">
        <v>212</v>
      </c>
      <c r="C14" s="266" t="s">
        <v>703</v>
      </c>
      <c r="D14" s="5"/>
      <c r="E14" s="5"/>
      <c r="F14" s="5"/>
      <c r="G14" s="102" t="s">
        <v>704</v>
      </c>
      <c r="H14" s="323"/>
      <c r="I14" s="5"/>
      <c r="J14" s="5"/>
      <c r="K14" s="5"/>
      <c r="L14" s="5"/>
      <c r="M14" s="330" t="s">
        <v>702</v>
      </c>
      <c r="N14" s="334">
        <f>+N79</f>
        <v>2583054.2868695529</v>
      </c>
      <c r="O14" s="335" t="s">
        <v>705</v>
      </c>
      <c r="P14" s="5"/>
      <c r="Q14" s="5"/>
      <c r="R14" s="5"/>
      <c r="S14" s="102" t="s">
        <v>704</v>
      </c>
      <c r="T14" s="328"/>
      <c r="U14" s="5"/>
      <c r="V14" s="5"/>
      <c r="W14" s="5"/>
      <c r="X14" s="5"/>
    </row>
    <row r="15" spans="1:24" ht="14.25" customHeight="1" x14ac:dyDescent="0.2">
      <c r="A15" s="118" t="s">
        <v>706</v>
      </c>
      <c r="B15" s="5"/>
      <c r="C15" s="5"/>
      <c r="D15" s="5"/>
      <c r="E15" s="5"/>
      <c r="F15" s="5"/>
      <c r="G15" s="226" t="s">
        <v>707</v>
      </c>
      <c r="H15" s="336">
        <v>0.02</v>
      </c>
      <c r="I15" s="5" t="s">
        <v>688</v>
      </c>
      <c r="J15" s="5"/>
      <c r="K15" s="5"/>
      <c r="L15" s="5"/>
      <c r="M15" s="118" t="s">
        <v>708</v>
      </c>
      <c r="N15" s="5"/>
      <c r="O15" s="5"/>
      <c r="P15" s="5"/>
      <c r="Q15" s="5"/>
      <c r="R15" s="5"/>
      <c r="S15" s="226" t="s">
        <v>707</v>
      </c>
      <c r="T15" s="324">
        <f>H15*10.764</f>
        <v>0.21528</v>
      </c>
      <c r="U15" s="64" t="s">
        <v>690</v>
      </c>
      <c r="V15" s="5"/>
      <c r="W15" s="5"/>
      <c r="X15" s="5"/>
    </row>
    <row r="16" spans="1:24" x14ac:dyDescent="0.2">
      <c r="A16" s="226" t="s">
        <v>709</v>
      </c>
      <c r="B16" s="327">
        <v>15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226" t="s">
        <v>709</v>
      </c>
      <c r="N16" s="327">
        <f>B16*1.8+32</f>
        <v>59</v>
      </c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">
      <c r="A17" s="226"/>
      <c r="B17" s="258"/>
      <c r="C17" s="5"/>
      <c r="D17" s="5"/>
      <c r="E17" s="5"/>
      <c r="F17" s="5"/>
      <c r="G17" s="5"/>
      <c r="H17" s="5"/>
      <c r="I17" s="5"/>
      <c r="J17" s="5"/>
      <c r="K17" s="5"/>
      <c r="L17" s="5"/>
      <c r="M17" s="226"/>
      <c r="N17" s="258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118" t="s">
        <v>710</v>
      </c>
      <c r="B18" s="258"/>
      <c r="C18" s="5"/>
      <c r="D18" s="5"/>
      <c r="E18" s="5"/>
      <c r="F18" s="5"/>
      <c r="G18" s="283" t="s">
        <v>711</v>
      </c>
      <c r="H18" s="283"/>
      <c r="I18" s="226"/>
      <c r="J18" s="226"/>
      <c r="K18" s="326"/>
      <c r="L18" s="326"/>
      <c r="M18" s="118" t="s">
        <v>710</v>
      </c>
      <c r="N18" s="258"/>
      <c r="O18" s="5"/>
      <c r="P18" s="5"/>
      <c r="Q18" s="5"/>
      <c r="R18" s="5"/>
      <c r="S18" s="283" t="s">
        <v>711</v>
      </c>
      <c r="T18" s="283"/>
      <c r="U18" s="226"/>
      <c r="V18" s="226"/>
      <c r="W18" s="326"/>
      <c r="X18" s="326"/>
    </row>
    <row r="19" spans="1:24" x14ac:dyDescent="0.2">
      <c r="A19" s="226" t="s">
        <v>712</v>
      </c>
      <c r="B19" s="327">
        <f>'Main Dimensions Calcs'!D53/1000</f>
        <v>20.6</v>
      </c>
      <c r="C19" s="5" t="s">
        <v>713</v>
      </c>
      <c r="D19" s="5"/>
      <c r="E19" s="5"/>
      <c r="F19" s="5"/>
      <c r="G19" s="5"/>
      <c r="H19" s="5"/>
      <c r="I19" s="226"/>
      <c r="J19" s="226"/>
      <c r="K19" s="326"/>
      <c r="L19" s="326"/>
      <c r="M19" s="226" t="s">
        <v>712</v>
      </c>
      <c r="N19" s="331">
        <f t="shared" ref="N19:N24" si="0">B19*1000/25.4</f>
        <v>811.02362204724409</v>
      </c>
      <c r="O19" s="64" t="s">
        <v>714</v>
      </c>
      <c r="P19" s="5"/>
      <c r="Q19" s="5"/>
      <c r="R19" s="5"/>
      <c r="S19" s="5"/>
      <c r="T19" s="5"/>
      <c r="U19" s="226"/>
      <c r="V19" s="226"/>
      <c r="W19" s="326"/>
      <c r="X19" s="326"/>
    </row>
    <row r="20" spans="1:24" ht="15.75" customHeight="1" x14ac:dyDescent="0.25">
      <c r="A20" s="226" t="s">
        <v>715</v>
      </c>
      <c r="B20" s="327">
        <f>'Main Dimensions Calcs'!D50/1000</f>
        <v>7.2</v>
      </c>
      <c r="C20" s="5" t="s">
        <v>716</v>
      </c>
      <c r="D20" s="5"/>
      <c r="E20" s="5"/>
      <c r="F20" s="5"/>
      <c r="G20" s="102" t="s">
        <v>717</v>
      </c>
      <c r="H20" s="337"/>
      <c r="I20" s="5"/>
      <c r="J20" s="5"/>
      <c r="K20" s="5"/>
      <c r="L20" s="5"/>
      <c r="M20" s="226" t="s">
        <v>715</v>
      </c>
      <c r="N20" s="331">
        <f t="shared" si="0"/>
        <v>283.46456692913387</v>
      </c>
      <c r="O20" s="64" t="s">
        <v>718</v>
      </c>
      <c r="P20" s="5"/>
      <c r="Q20" s="5"/>
      <c r="R20" s="5"/>
      <c r="S20" s="102" t="s">
        <v>717</v>
      </c>
      <c r="T20" s="102"/>
      <c r="U20" s="5"/>
      <c r="V20" s="5"/>
      <c r="W20" s="5"/>
      <c r="X20" s="5"/>
    </row>
    <row r="21" spans="1:24" x14ac:dyDescent="0.2">
      <c r="A21" s="226" t="s">
        <v>719</v>
      </c>
      <c r="B21" s="327">
        <f>'Main Dimensions Calcs'!D51/1000</f>
        <v>4.3499999999999996</v>
      </c>
      <c r="C21" s="5" t="s">
        <v>720</v>
      </c>
      <c r="D21" s="5"/>
      <c r="E21" s="5"/>
      <c r="F21" s="5"/>
      <c r="G21" s="226" t="s">
        <v>721</v>
      </c>
      <c r="H21" s="338">
        <f>+B73*(B100/(B51+B52)+B102/B51)*B91</f>
        <v>2436.3721526142531</v>
      </c>
      <c r="I21" s="5" t="s">
        <v>197</v>
      </c>
      <c r="J21" s="64" t="s">
        <v>722</v>
      </c>
      <c r="K21" s="326"/>
      <c r="L21" s="5"/>
      <c r="M21" s="226" t="s">
        <v>719</v>
      </c>
      <c r="N21" s="331">
        <f t="shared" si="0"/>
        <v>171.25984251968504</v>
      </c>
      <c r="O21" s="64" t="s">
        <v>723</v>
      </c>
      <c r="P21" s="5"/>
      <c r="Q21" s="5"/>
      <c r="R21" s="5"/>
      <c r="S21" s="226" t="s">
        <v>721</v>
      </c>
      <c r="T21" s="339">
        <f>H21*3.412</f>
        <v>8312.901784719832</v>
      </c>
      <c r="U21" s="64" t="s">
        <v>724</v>
      </c>
      <c r="V21" s="64" t="s">
        <v>722</v>
      </c>
      <c r="W21" s="326"/>
      <c r="X21" s="5"/>
    </row>
    <row r="22" spans="1:24" x14ac:dyDescent="0.2">
      <c r="A22" s="226" t="s">
        <v>725</v>
      </c>
      <c r="B22" s="340">
        <f>'Main Dimensions Calcs'!I18/1000</f>
        <v>8.0000000000000002E-3</v>
      </c>
      <c r="C22" s="5" t="s">
        <v>726</v>
      </c>
      <c r="D22" s="5"/>
      <c r="E22" s="5"/>
      <c r="F22" s="5"/>
      <c r="G22" s="341"/>
      <c r="H22" s="338"/>
      <c r="I22" s="5"/>
      <c r="J22" s="226"/>
      <c r="K22" s="5"/>
      <c r="L22" s="5"/>
      <c r="M22" s="226" t="s">
        <v>725</v>
      </c>
      <c r="N22" s="331">
        <f t="shared" si="0"/>
        <v>0.31496062992125984</v>
      </c>
      <c r="O22" s="64" t="s">
        <v>727</v>
      </c>
      <c r="P22" s="5"/>
      <c r="Q22" s="5"/>
      <c r="R22" s="5"/>
      <c r="S22" s="5"/>
      <c r="T22" s="265"/>
      <c r="U22" s="226"/>
      <c r="V22" s="226"/>
      <c r="W22" s="5"/>
      <c r="X22" s="5"/>
    </row>
    <row r="23" spans="1:24" x14ac:dyDescent="0.2">
      <c r="A23" s="226" t="s">
        <v>728</v>
      </c>
      <c r="B23" s="327">
        <f>'Main Dimensions Calcs'!D54/1000</f>
        <v>18</v>
      </c>
      <c r="C23" s="5" t="s">
        <v>729</v>
      </c>
      <c r="D23" s="5"/>
      <c r="E23" s="5"/>
      <c r="F23" s="5"/>
      <c r="G23" s="5"/>
      <c r="H23" s="338"/>
      <c r="I23" s="226"/>
      <c r="J23" s="226"/>
      <c r="K23" s="326"/>
      <c r="L23" s="5"/>
      <c r="M23" s="226" t="s">
        <v>728</v>
      </c>
      <c r="N23" s="331">
        <f t="shared" si="0"/>
        <v>708.66141732283472</v>
      </c>
      <c r="O23" s="64" t="s">
        <v>730</v>
      </c>
      <c r="P23" s="5"/>
      <c r="Q23" s="5"/>
      <c r="R23" s="5"/>
      <c r="S23" s="5"/>
      <c r="T23" s="265"/>
      <c r="U23" s="226"/>
      <c r="V23" s="226"/>
      <c r="W23" s="326"/>
      <c r="X23" s="5"/>
    </row>
    <row r="24" spans="1:24" ht="15.75" customHeight="1" x14ac:dyDescent="0.25">
      <c r="A24" s="226" t="s">
        <v>731</v>
      </c>
      <c r="B24" s="331">
        <f>'Main Dimensions Calcs'!D52/1000</f>
        <v>3.2382250389731251</v>
      </c>
      <c r="C24" s="5" t="s">
        <v>732</v>
      </c>
      <c r="D24" s="5"/>
      <c r="E24" s="5"/>
      <c r="F24" s="5"/>
      <c r="G24" s="102" t="s">
        <v>733</v>
      </c>
      <c r="H24" s="342"/>
      <c r="I24" s="5"/>
      <c r="J24" s="5"/>
      <c r="K24" s="5"/>
      <c r="L24" s="5"/>
      <c r="M24" s="226" t="s">
        <v>731</v>
      </c>
      <c r="N24" s="331">
        <f t="shared" si="0"/>
        <v>127.48917476272148</v>
      </c>
      <c r="O24" s="64" t="s">
        <v>734</v>
      </c>
      <c r="P24" s="5"/>
      <c r="Q24" s="5"/>
      <c r="R24" s="5"/>
      <c r="S24" s="102" t="s">
        <v>733</v>
      </c>
      <c r="T24" s="343"/>
      <c r="U24" s="5"/>
      <c r="V24" s="5"/>
      <c r="W24" s="5"/>
      <c r="X24" s="5"/>
    </row>
    <row r="25" spans="1:24" x14ac:dyDescent="0.2">
      <c r="A25" s="329" t="s">
        <v>735</v>
      </c>
      <c r="B25" s="344">
        <f>+'Main Dimensions Calcs'!D57</f>
        <v>1449.8183060941342</v>
      </c>
      <c r="C25" s="266" t="s">
        <v>736</v>
      </c>
      <c r="D25" s="5"/>
      <c r="E25" s="5"/>
      <c r="F25" s="5"/>
      <c r="G25" s="226" t="s">
        <v>737</v>
      </c>
      <c r="H25" s="338">
        <f>+B69*(B106/B48+B108/(0.5*(B87-B83))+B111/(B51+B52))*B91</f>
        <v>3832.3289787398994</v>
      </c>
      <c r="I25" s="5" t="s">
        <v>197</v>
      </c>
      <c r="J25" s="5"/>
      <c r="K25" s="5"/>
      <c r="L25" s="5"/>
      <c r="M25" s="330" t="s">
        <v>735</v>
      </c>
      <c r="N25" s="345">
        <f>+B25*35.31</f>
        <v>51193.084388183881</v>
      </c>
      <c r="O25" s="335" t="s">
        <v>738</v>
      </c>
      <c r="P25" s="5"/>
      <c r="Q25" s="5"/>
      <c r="R25" s="5"/>
      <c r="S25" s="226" t="s">
        <v>737</v>
      </c>
      <c r="T25" s="339">
        <f>H25*3.412</f>
        <v>13075.906475460537</v>
      </c>
      <c r="U25" s="64" t="s">
        <v>724</v>
      </c>
      <c r="V25" s="5"/>
      <c r="W25" s="5"/>
      <c r="X25" s="5"/>
    </row>
    <row r="26" spans="1:24" x14ac:dyDescent="0.2">
      <c r="A26" s="118" t="s">
        <v>739</v>
      </c>
      <c r="B26" s="258"/>
      <c r="C26" s="5"/>
      <c r="D26" s="5"/>
      <c r="E26" s="5"/>
      <c r="F26" s="5"/>
      <c r="G26" s="5"/>
      <c r="H26" s="338" t="s">
        <v>740</v>
      </c>
      <c r="I26" s="226"/>
      <c r="J26" s="226"/>
      <c r="K26" s="326"/>
      <c r="L26" s="5"/>
      <c r="M26" s="118" t="s">
        <v>739</v>
      </c>
      <c r="N26" s="258"/>
      <c r="O26" s="5"/>
      <c r="P26" s="5"/>
      <c r="Q26" s="5"/>
      <c r="R26" s="5"/>
      <c r="S26" s="5"/>
      <c r="T26" s="346" t="s">
        <v>740</v>
      </c>
      <c r="U26" s="226"/>
      <c r="V26" s="226"/>
      <c r="W26" s="326"/>
      <c r="X26" s="5"/>
    </row>
    <row r="27" spans="1:24" x14ac:dyDescent="0.2">
      <c r="A27" s="226" t="s">
        <v>741</v>
      </c>
      <c r="B27" s="327">
        <f>'Main Dimensions Calcs'!D32/1000</f>
        <v>23.4</v>
      </c>
      <c r="C27" s="5" t="s">
        <v>742</v>
      </c>
      <c r="D27" s="5"/>
      <c r="E27" s="5"/>
      <c r="F27" s="5"/>
      <c r="G27" s="5"/>
      <c r="H27" s="338"/>
      <c r="I27" s="226"/>
      <c r="J27" s="226"/>
      <c r="K27" s="326"/>
      <c r="L27" s="5"/>
      <c r="M27" s="226" t="s">
        <v>741</v>
      </c>
      <c r="N27" s="331">
        <f>B27*1000/25.4</f>
        <v>921.25984251968509</v>
      </c>
      <c r="O27" s="64" t="s">
        <v>743</v>
      </c>
      <c r="P27" s="5"/>
      <c r="Q27" s="5"/>
      <c r="R27" s="5"/>
      <c r="S27" s="5"/>
      <c r="T27" s="265"/>
      <c r="U27" s="226"/>
      <c r="V27" s="226"/>
      <c r="W27" s="326"/>
      <c r="X27" s="5"/>
    </row>
    <row r="28" spans="1:24" ht="15.75" customHeight="1" x14ac:dyDescent="0.25">
      <c r="A28" s="226" t="s">
        <v>744</v>
      </c>
      <c r="B28" s="331">
        <f>'Main Dimensions Calcs'!D30/1000</f>
        <v>8.9130432931562744</v>
      </c>
      <c r="C28" s="5" t="s">
        <v>716</v>
      </c>
      <c r="D28" s="5"/>
      <c r="E28" s="5"/>
      <c r="F28" s="5"/>
      <c r="G28" s="102" t="s">
        <v>685</v>
      </c>
      <c r="H28" s="342"/>
      <c r="I28" s="5"/>
      <c r="J28" s="5"/>
      <c r="K28" s="5"/>
      <c r="L28" s="5"/>
      <c r="M28" s="226" t="s">
        <v>744</v>
      </c>
      <c r="N28" s="331">
        <f>B28*1000/25.4</f>
        <v>350.90721626599503</v>
      </c>
      <c r="O28" s="64" t="s">
        <v>718</v>
      </c>
      <c r="P28" s="5"/>
      <c r="Q28" s="5"/>
      <c r="R28" s="5"/>
      <c r="S28" s="102" t="s">
        <v>685</v>
      </c>
      <c r="T28" s="343"/>
      <c r="U28" s="5"/>
      <c r="V28" s="5"/>
      <c r="W28" s="5"/>
      <c r="X28" s="5"/>
    </row>
    <row r="29" spans="1:24" x14ac:dyDescent="0.2">
      <c r="A29" s="226" t="s">
        <v>745</v>
      </c>
      <c r="B29" s="331">
        <f>'Main Dimensions Calcs'!D33/1000</f>
        <v>19.399999999999999</v>
      </c>
      <c r="C29" s="5" t="s">
        <v>746</v>
      </c>
      <c r="D29" s="5"/>
      <c r="E29" s="5"/>
      <c r="F29" s="5"/>
      <c r="G29" s="226" t="s">
        <v>747</v>
      </c>
      <c r="H29" s="338">
        <f>+B76*H9*B91/(B51+B52)</f>
        <v>358.21136842105261</v>
      </c>
      <c r="I29" s="5" t="s">
        <v>197</v>
      </c>
      <c r="J29" s="64" t="s">
        <v>748</v>
      </c>
      <c r="K29" s="326"/>
      <c r="L29" s="5"/>
      <c r="M29" s="226" t="s">
        <v>745</v>
      </c>
      <c r="N29" s="331">
        <f>B29*1000/25.4</f>
        <v>763.77952755905517</v>
      </c>
      <c r="O29" s="64" t="s">
        <v>749</v>
      </c>
      <c r="P29" s="5"/>
      <c r="Q29" s="5"/>
      <c r="R29" s="5"/>
      <c r="S29" s="226" t="s">
        <v>747</v>
      </c>
      <c r="T29" s="339">
        <f>H29*3.412</f>
        <v>1222.2171890526315</v>
      </c>
      <c r="U29" s="64" t="s">
        <v>724</v>
      </c>
      <c r="V29" s="64" t="s">
        <v>748</v>
      </c>
      <c r="W29" s="326"/>
      <c r="X29" s="5"/>
    </row>
    <row r="30" spans="1:24" x14ac:dyDescent="0.2">
      <c r="A30" s="226" t="s">
        <v>750</v>
      </c>
      <c r="B30" s="331">
        <f>'Main Dimensions Calcs'!D31/1000</f>
        <v>3.9251817458168516</v>
      </c>
      <c r="C30" s="5" t="s">
        <v>732</v>
      </c>
      <c r="D30" s="5"/>
      <c r="E30" s="5"/>
      <c r="F30" s="5"/>
      <c r="G30" s="5"/>
      <c r="H30" s="338"/>
      <c r="I30" s="226"/>
      <c r="J30" s="226"/>
      <c r="K30" s="5"/>
      <c r="L30" s="5"/>
      <c r="M30" s="226" t="s">
        <v>750</v>
      </c>
      <c r="N30" s="331">
        <f>B30*1000/25.4</f>
        <v>154.53471440223825</v>
      </c>
      <c r="O30" s="64" t="s">
        <v>734</v>
      </c>
      <c r="P30" s="5"/>
      <c r="Q30" s="5"/>
      <c r="R30" s="5"/>
      <c r="S30" s="5"/>
      <c r="T30" s="265"/>
      <c r="U30" s="226"/>
      <c r="V30" s="226"/>
      <c r="W30" s="5"/>
      <c r="X30" s="5"/>
    </row>
    <row r="31" spans="1:24" x14ac:dyDescent="0.2">
      <c r="A31" s="226"/>
      <c r="B31" s="258"/>
      <c r="C31" s="118"/>
      <c r="D31" s="5"/>
      <c r="E31" s="5"/>
      <c r="F31" s="5"/>
      <c r="G31" s="5"/>
      <c r="H31" s="338"/>
      <c r="I31" s="226"/>
      <c r="J31" s="226"/>
      <c r="K31" s="326"/>
      <c r="L31" s="5"/>
      <c r="M31" s="226"/>
      <c r="N31" s="258"/>
      <c r="O31" s="118"/>
      <c r="P31" s="5"/>
      <c r="Q31" s="5"/>
      <c r="R31" s="5"/>
      <c r="S31" s="5"/>
      <c r="T31" s="265"/>
      <c r="U31" s="226"/>
      <c r="V31" s="226"/>
      <c r="W31" s="326"/>
      <c r="X31" s="5"/>
    </row>
    <row r="32" spans="1:24" ht="15.75" customHeight="1" x14ac:dyDescent="0.25">
      <c r="A32" s="118" t="s">
        <v>386</v>
      </c>
      <c r="B32" s="258"/>
      <c r="C32" s="5"/>
      <c r="D32" s="5"/>
      <c r="E32" s="5"/>
      <c r="F32" s="5"/>
      <c r="G32" s="102" t="s">
        <v>751</v>
      </c>
      <c r="H32" s="342"/>
      <c r="I32" s="5"/>
      <c r="J32" s="5"/>
      <c r="K32" s="5"/>
      <c r="L32" s="5"/>
      <c r="M32" s="118" t="s">
        <v>386</v>
      </c>
      <c r="N32" s="258"/>
      <c r="O32" s="5"/>
      <c r="P32" s="5"/>
      <c r="Q32" s="5"/>
      <c r="R32" s="5"/>
      <c r="S32" s="102" t="s">
        <v>751</v>
      </c>
      <c r="T32" s="343"/>
      <c r="U32" s="5"/>
      <c r="V32" s="5"/>
      <c r="W32" s="5"/>
      <c r="X32" s="5"/>
    </row>
    <row r="33" spans="1:24" x14ac:dyDescent="0.2">
      <c r="A33" s="226" t="s">
        <v>752</v>
      </c>
      <c r="B33" s="327">
        <f>'Main Dimensions Calcs'!D68</f>
        <v>6</v>
      </c>
      <c r="C33" s="5" t="s">
        <v>346</v>
      </c>
      <c r="D33" s="5"/>
      <c r="E33" s="5"/>
      <c r="F33" s="5"/>
      <c r="G33" s="226" t="s">
        <v>753</v>
      </c>
      <c r="H33" s="338">
        <f>+B76*H12*B91/(B51+B52)</f>
        <v>103.8217402292934</v>
      </c>
      <c r="I33" s="5" t="s">
        <v>197</v>
      </c>
      <c r="J33" s="64" t="s">
        <v>754</v>
      </c>
      <c r="K33" s="5"/>
      <c r="L33" s="5"/>
      <c r="M33" s="226" t="s">
        <v>752</v>
      </c>
      <c r="N33" s="327">
        <f>B33</f>
        <v>6</v>
      </c>
      <c r="O33" s="5" t="s">
        <v>346</v>
      </c>
      <c r="P33" s="5"/>
      <c r="Q33" s="5"/>
      <c r="R33" s="5"/>
      <c r="S33" s="226" t="s">
        <v>753</v>
      </c>
      <c r="T33" s="339">
        <f>H33*3.412</f>
        <v>354.23977766234907</v>
      </c>
      <c r="U33" s="64" t="s">
        <v>724</v>
      </c>
      <c r="V33" s="64" t="s">
        <v>754</v>
      </c>
      <c r="W33" s="5"/>
      <c r="X33" s="5"/>
    </row>
    <row r="34" spans="1:24" x14ac:dyDescent="0.2">
      <c r="A34" s="226" t="s">
        <v>755</v>
      </c>
      <c r="B34" s="327">
        <f>'Main Dimensions Calcs'!D69/1000</f>
        <v>20.856000000000002</v>
      </c>
      <c r="C34" s="5" t="s">
        <v>756</v>
      </c>
      <c r="D34" s="5"/>
      <c r="E34" s="5"/>
      <c r="F34" s="5"/>
      <c r="G34" s="5"/>
      <c r="H34" s="338"/>
      <c r="I34" s="5"/>
      <c r="J34" s="5"/>
      <c r="K34" s="326"/>
      <c r="L34" s="5"/>
      <c r="M34" s="226" t="s">
        <v>755</v>
      </c>
      <c r="N34" s="331">
        <f>B34*1000/25.4</f>
        <v>821.1023622047245</v>
      </c>
      <c r="O34" s="64" t="s">
        <v>757</v>
      </c>
      <c r="P34" s="5"/>
      <c r="Q34" s="5"/>
      <c r="R34" s="5"/>
      <c r="S34" s="5"/>
      <c r="T34" s="265"/>
      <c r="U34" s="5"/>
      <c r="V34" s="5"/>
      <c r="W34" s="326"/>
      <c r="X34" s="5"/>
    </row>
    <row r="35" spans="1:24" x14ac:dyDescent="0.2">
      <c r="A35" s="226" t="s">
        <v>758</v>
      </c>
      <c r="B35" s="347">
        <f>'Main Dimensions Calcs'!D73/1000</f>
        <v>0.01</v>
      </c>
      <c r="C35" s="5" t="s">
        <v>759</v>
      </c>
      <c r="D35" s="5"/>
      <c r="E35" s="5"/>
      <c r="F35" s="5"/>
      <c r="G35" s="5"/>
      <c r="H35" s="338"/>
      <c r="I35" s="226"/>
      <c r="J35" s="226"/>
      <c r="K35" s="326"/>
      <c r="L35" s="5"/>
      <c r="M35" s="226" t="s">
        <v>758</v>
      </c>
      <c r="N35" s="331">
        <f>B35*1000/25.4</f>
        <v>0.39370078740157483</v>
      </c>
      <c r="O35" s="64" t="s">
        <v>760</v>
      </c>
      <c r="P35" s="5"/>
      <c r="Q35" s="5"/>
      <c r="R35" s="5"/>
      <c r="S35" s="5"/>
      <c r="T35" s="265"/>
      <c r="U35" s="226"/>
      <c r="V35" s="226"/>
      <c r="W35" s="326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102" t="s">
        <v>761</v>
      </c>
      <c r="H36" s="342"/>
      <c r="I36" s="5"/>
      <c r="J36" s="5"/>
      <c r="K36" s="5"/>
      <c r="L36" s="5"/>
      <c r="M36" s="5"/>
      <c r="N36" s="5"/>
      <c r="O36" s="5"/>
      <c r="P36" s="5"/>
      <c r="Q36" s="5"/>
      <c r="R36" s="5"/>
      <c r="S36" s="102" t="s">
        <v>761</v>
      </c>
      <c r="T36" s="343"/>
      <c r="U36" s="5"/>
      <c r="V36" s="5"/>
      <c r="W36" s="5"/>
      <c r="X36" s="5"/>
    </row>
    <row r="37" spans="1:24" x14ac:dyDescent="0.2">
      <c r="A37" s="118" t="s">
        <v>344</v>
      </c>
      <c r="B37" s="258"/>
      <c r="C37" s="5"/>
      <c r="D37" s="5"/>
      <c r="E37" s="5"/>
      <c r="F37" s="5"/>
      <c r="G37" s="226" t="s">
        <v>762</v>
      </c>
      <c r="H37" s="338">
        <f>+B76*H15*B91/(B47)</f>
        <v>42.442528735632202</v>
      </c>
      <c r="I37" s="5" t="s">
        <v>197</v>
      </c>
      <c r="J37" s="5" t="s">
        <v>763</v>
      </c>
      <c r="K37" s="5"/>
      <c r="L37" s="5"/>
      <c r="M37" s="118" t="s">
        <v>344</v>
      </c>
      <c r="N37" s="258"/>
      <c r="O37" s="5"/>
      <c r="P37" s="5"/>
      <c r="Q37" s="5"/>
      <c r="R37" s="5"/>
      <c r="S37" s="226" t="s">
        <v>762</v>
      </c>
      <c r="T37" s="339">
        <f>H37*3.412</f>
        <v>144.81390804597706</v>
      </c>
      <c r="U37" s="64" t="s">
        <v>724</v>
      </c>
      <c r="V37" s="5" t="s">
        <v>763</v>
      </c>
      <c r="W37" s="5"/>
      <c r="X37" s="5"/>
    </row>
    <row r="38" spans="1:24" x14ac:dyDescent="0.2">
      <c r="A38" s="226" t="s">
        <v>764</v>
      </c>
      <c r="B38" s="327">
        <f>'Main Dimensions Calcs'!D43</f>
        <v>2</v>
      </c>
      <c r="C38" s="5" t="s">
        <v>346</v>
      </c>
      <c r="D38" s="5"/>
      <c r="E38" s="5"/>
      <c r="F38" s="5"/>
      <c r="G38" s="5"/>
      <c r="H38" s="338"/>
      <c r="I38" s="226"/>
      <c r="J38" s="226"/>
      <c r="K38" s="326"/>
      <c r="L38" s="5"/>
      <c r="M38" s="226" t="s">
        <v>764</v>
      </c>
      <c r="N38" s="327">
        <f>B38</f>
        <v>2</v>
      </c>
      <c r="O38" s="5" t="s">
        <v>346</v>
      </c>
      <c r="P38" s="5"/>
      <c r="Q38" s="5"/>
      <c r="R38" s="5"/>
      <c r="S38" s="5"/>
      <c r="T38" s="265"/>
      <c r="U38" s="226"/>
      <c r="V38" s="226"/>
      <c r="W38" s="326"/>
      <c r="X38" s="5"/>
    </row>
    <row r="39" spans="1:24" x14ac:dyDescent="0.2">
      <c r="A39" s="226" t="s">
        <v>765</v>
      </c>
      <c r="B39" s="331">
        <f>('Main Dimensions Calcs'!D32-2*'Main Dimensions Calcs'!D44)/1000</f>
        <v>23.12</v>
      </c>
      <c r="C39" s="5" t="s">
        <v>766</v>
      </c>
      <c r="D39" s="5"/>
      <c r="E39" s="5"/>
      <c r="F39" s="5"/>
      <c r="G39" s="5"/>
      <c r="H39" s="338"/>
      <c r="I39" s="226"/>
      <c r="J39" s="226"/>
      <c r="K39" s="326"/>
      <c r="L39" s="5"/>
      <c r="M39" s="226" t="s">
        <v>765</v>
      </c>
      <c r="N39" s="331">
        <f>B39*1000/25.4</f>
        <v>910.236220472441</v>
      </c>
      <c r="O39" s="64" t="s">
        <v>767</v>
      </c>
      <c r="P39" s="5"/>
      <c r="Q39" s="5"/>
      <c r="R39" s="5"/>
      <c r="S39" s="5"/>
      <c r="T39" s="265"/>
      <c r="U39" s="226"/>
      <c r="V39" s="226"/>
      <c r="W39" s="326"/>
      <c r="X39" s="5"/>
    </row>
    <row r="40" spans="1:24" ht="15.75" customHeight="1" x14ac:dyDescent="0.25">
      <c r="A40" s="226" t="s">
        <v>768</v>
      </c>
      <c r="B40" s="327">
        <f>'Main Dimensions Calcs'!D45/1000</f>
        <v>1.4E-2</v>
      </c>
      <c r="C40" s="5" t="s">
        <v>769</v>
      </c>
      <c r="D40" s="5"/>
      <c r="E40" s="5"/>
      <c r="F40" s="5"/>
      <c r="G40" s="102" t="s">
        <v>770</v>
      </c>
      <c r="H40" s="342"/>
      <c r="I40" s="5"/>
      <c r="J40" s="5"/>
      <c r="K40" s="5"/>
      <c r="L40" s="5"/>
      <c r="M40" s="226" t="s">
        <v>768</v>
      </c>
      <c r="N40" s="331">
        <f>B40*1000/25.4</f>
        <v>0.55118110236220474</v>
      </c>
      <c r="O40" s="64" t="s">
        <v>771</v>
      </c>
      <c r="P40" s="5"/>
      <c r="Q40" s="5"/>
      <c r="R40" s="5"/>
      <c r="S40" s="102" t="s">
        <v>770</v>
      </c>
      <c r="T40" s="343"/>
      <c r="U40" s="5"/>
      <c r="V40" s="5"/>
      <c r="W40" s="5"/>
      <c r="X40" s="5"/>
    </row>
    <row r="41" spans="1:24" ht="11.25" customHeight="1" x14ac:dyDescent="0.2">
      <c r="A41" s="5"/>
      <c r="B41" s="5"/>
      <c r="C41" s="5"/>
      <c r="D41" s="5"/>
      <c r="E41" s="5"/>
      <c r="F41" s="5"/>
      <c r="G41" s="226" t="s">
        <v>772</v>
      </c>
      <c r="H41" s="338">
        <f>+H25+H21+H37+H29+H33</f>
        <v>6773.1767687401307</v>
      </c>
      <c r="I41" s="5" t="s">
        <v>197</v>
      </c>
      <c r="J41" s="5" t="s">
        <v>773</v>
      </c>
      <c r="K41" s="326"/>
      <c r="L41" s="326"/>
      <c r="M41" s="5"/>
      <c r="N41" s="5"/>
      <c r="O41" s="5"/>
      <c r="P41" s="5"/>
      <c r="Q41" s="5"/>
      <c r="R41" s="5"/>
      <c r="S41" s="226" t="s">
        <v>772</v>
      </c>
      <c r="T41" s="339">
        <f>+T25+T21+T37+T29+T33</f>
        <v>23110.079134941327</v>
      </c>
      <c r="U41" s="64" t="s">
        <v>724</v>
      </c>
      <c r="V41" s="5" t="s">
        <v>773</v>
      </c>
      <c r="W41" s="326"/>
      <c r="X41" s="326"/>
    </row>
    <row r="42" spans="1:24" x14ac:dyDescent="0.2">
      <c r="A42" s="121" t="s">
        <v>381</v>
      </c>
      <c r="B42" s="258"/>
      <c r="C42" s="117"/>
      <c r="D42" s="5"/>
      <c r="E42" s="5"/>
      <c r="F42" s="5"/>
      <c r="G42" s="273"/>
      <c r="H42" s="5"/>
      <c r="I42" s="5"/>
      <c r="J42" s="5"/>
      <c r="K42" s="5"/>
      <c r="L42" s="5"/>
      <c r="M42" s="121" t="s">
        <v>381</v>
      </c>
      <c r="N42" s="258"/>
      <c r="O42" s="117"/>
      <c r="P42" s="5"/>
      <c r="Q42" s="5"/>
      <c r="R42" s="5"/>
      <c r="S42" s="273"/>
      <c r="T42" s="5"/>
      <c r="U42" s="5"/>
      <c r="V42" s="5"/>
      <c r="W42" s="5"/>
      <c r="X42" s="5"/>
    </row>
    <row r="43" spans="1:24" x14ac:dyDescent="0.2">
      <c r="A43" s="226" t="s">
        <v>774</v>
      </c>
      <c r="B43" s="327">
        <f>'Main Dimensions Calcs'!D61</f>
        <v>60</v>
      </c>
      <c r="C43" s="117" t="s">
        <v>775</v>
      </c>
      <c r="D43" s="5"/>
      <c r="E43" s="5"/>
      <c r="F43" s="5"/>
      <c r="G43" s="273"/>
      <c r="H43" s="5"/>
      <c r="I43" s="5"/>
      <c r="J43" s="5"/>
      <c r="K43" s="5"/>
      <c r="L43" s="5"/>
      <c r="M43" s="226" t="s">
        <v>774</v>
      </c>
      <c r="N43" s="327">
        <f>B43</f>
        <v>60</v>
      </c>
      <c r="O43" s="117" t="s">
        <v>775</v>
      </c>
      <c r="P43" s="5"/>
      <c r="Q43" s="5"/>
      <c r="R43" s="5"/>
      <c r="S43" s="273"/>
      <c r="T43" s="5"/>
      <c r="U43" s="5"/>
      <c r="V43" s="5"/>
      <c r="W43" s="5"/>
      <c r="X43" s="5"/>
    </row>
    <row r="44" spans="1:24" ht="15.75" customHeight="1" x14ac:dyDescent="0.25">
      <c r="A44" s="226" t="s">
        <v>776</v>
      </c>
      <c r="B44" s="327">
        <f>'Main Dimensions Calcs'!F65/1000000</f>
        <v>1.92E-3</v>
      </c>
      <c r="C44" s="117" t="s">
        <v>777</v>
      </c>
      <c r="D44" s="5"/>
      <c r="E44" s="5"/>
      <c r="F44" s="5"/>
      <c r="G44" s="283" t="s">
        <v>778</v>
      </c>
      <c r="H44" s="283"/>
      <c r="I44" s="226"/>
      <c r="J44" s="226"/>
      <c r="K44" s="5"/>
      <c r="L44" s="5"/>
      <c r="M44" s="226" t="s">
        <v>776</v>
      </c>
      <c r="N44" s="331">
        <f>B44*1550</f>
        <v>2.976</v>
      </c>
      <c r="O44" s="64" t="s">
        <v>779</v>
      </c>
      <c r="P44" s="5"/>
      <c r="Q44" s="5"/>
      <c r="R44" s="5"/>
      <c r="S44" s="283" t="s">
        <v>778</v>
      </c>
      <c r="T44" s="283"/>
      <c r="U44" s="226"/>
      <c r="V44" s="226"/>
      <c r="W44" s="5"/>
      <c r="X44" s="5"/>
    </row>
    <row r="45" spans="1:24" x14ac:dyDescent="0.2">
      <c r="A45" s="5"/>
      <c r="B45" s="5"/>
      <c r="C45" s="5"/>
      <c r="D45" s="5"/>
      <c r="E45" s="5"/>
      <c r="F45" s="5"/>
      <c r="G45" s="5"/>
      <c r="H45" s="5"/>
      <c r="I45" s="226"/>
      <c r="J45" s="226"/>
      <c r="K45" s="348"/>
      <c r="L45" s="348"/>
      <c r="M45" s="5"/>
      <c r="N45" s="5"/>
      <c r="O45" s="5"/>
      <c r="P45" s="5"/>
      <c r="Q45" s="5"/>
      <c r="R45" s="5"/>
      <c r="S45" s="5"/>
      <c r="T45" s="5"/>
      <c r="U45" s="226"/>
      <c r="V45" s="226"/>
      <c r="W45" s="348"/>
      <c r="X45" s="348"/>
    </row>
    <row r="46" spans="1:24" x14ac:dyDescent="0.2">
      <c r="A46" s="121" t="s">
        <v>780</v>
      </c>
      <c r="B46" s="5"/>
      <c r="C46" s="5"/>
      <c r="D46" s="5"/>
      <c r="E46" s="5"/>
      <c r="F46" s="5"/>
      <c r="G46" s="5" t="s">
        <v>781</v>
      </c>
      <c r="H46" s="5"/>
      <c r="I46" s="226" t="s">
        <v>782</v>
      </c>
      <c r="J46" s="226"/>
      <c r="K46" s="349">
        <f>+H41*86400/(B13*B79*1000)</f>
        <v>2.5103145098704311E-3</v>
      </c>
      <c r="L46" s="350"/>
      <c r="M46" s="121" t="s">
        <v>780</v>
      </c>
      <c r="N46" s="5"/>
      <c r="O46" s="5"/>
      <c r="P46" s="5"/>
      <c r="Q46" s="5"/>
      <c r="R46" s="5"/>
      <c r="S46" s="5" t="s">
        <v>781</v>
      </c>
      <c r="T46" s="5"/>
      <c r="U46" s="226" t="s">
        <v>782</v>
      </c>
      <c r="V46" s="226"/>
      <c r="W46" s="349">
        <f>K46</f>
        <v>2.5103145098704311E-3</v>
      </c>
      <c r="X46" s="350"/>
    </row>
    <row r="47" spans="1:24" x14ac:dyDescent="0.2">
      <c r="A47" s="226" t="s">
        <v>783</v>
      </c>
      <c r="B47" s="351">
        <f>(B27-(B19+2*B22))/2</f>
        <v>1.3919999999999995</v>
      </c>
      <c r="C47" s="117" t="s">
        <v>784</v>
      </c>
      <c r="D47" s="5"/>
      <c r="E47" s="5"/>
      <c r="F47" s="5"/>
      <c r="G47" s="5"/>
      <c r="H47" s="5"/>
      <c r="I47" s="5"/>
      <c r="J47" s="5"/>
      <c r="K47" s="352"/>
      <c r="L47" s="326"/>
      <c r="M47" s="226" t="s">
        <v>783</v>
      </c>
      <c r="N47" s="331">
        <f>B47*1000/25.4</f>
        <v>54.803149606299201</v>
      </c>
      <c r="O47" s="64" t="s">
        <v>785</v>
      </c>
      <c r="P47" s="5"/>
      <c r="Q47" s="5"/>
      <c r="R47" s="5"/>
      <c r="S47" s="64"/>
      <c r="T47" s="5"/>
      <c r="U47" s="341"/>
      <c r="V47" s="5"/>
      <c r="W47" s="350"/>
      <c r="X47" s="326"/>
    </row>
    <row r="48" spans="1:24" x14ac:dyDescent="0.2">
      <c r="A48" s="226" t="s">
        <v>786</v>
      </c>
      <c r="B48" s="273">
        <f>B29-B23</f>
        <v>1.3999999999999986</v>
      </c>
      <c r="C48" s="117" t="s">
        <v>787</v>
      </c>
      <c r="D48" s="117"/>
      <c r="E48" s="117"/>
      <c r="F48" s="117"/>
      <c r="G48" s="5"/>
      <c r="H48" s="5"/>
      <c r="I48" s="5"/>
      <c r="J48" s="5"/>
      <c r="K48" s="326"/>
      <c r="L48" s="326"/>
      <c r="M48" s="226" t="s">
        <v>786</v>
      </c>
      <c r="N48" s="331">
        <f>B48*1000/25.4</f>
        <v>55.118110236220424</v>
      </c>
      <c r="O48" s="64" t="s">
        <v>788</v>
      </c>
      <c r="P48" s="117"/>
      <c r="Q48" s="117"/>
      <c r="R48" s="117"/>
      <c r="S48" s="5"/>
      <c r="T48" s="5"/>
      <c r="U48" s="5"/>
      <c r="V48" s="5"/>
      <c r="W48" s="326"/>
      <c r="X48" s="326"/>
    </row>
    <row r="49" spans="1:24" ht="15.75" customHeight="1" x14ac:dyDescent="0.25">
      <c r="A49" s="5"/>
      <c r="B49" s="5"/>
      <c r="C49" s="5"/>
      <c r="D49" s="117"/>
      <c r="E49" s="117"/>
      <c r="F49" s="117"/>
      <c r="G49" s="283" t="s">
        <v>789</v>
      </c>
      <c r="H49" s="283"/>
      <c r="I49" s="5"/>
      <c r="J49" s="5"/>
      <c r="K49" s="5"/>
      <c r="L49" s="5"/>
      <c r="M49" s="5"/>
      <c r="N49" s="5"/>
      <c r="O49" s="5"/>
      <c r="P49" s="117"/>
      <c r="Q49" s="117"/>
      <c r="R49" s="117"/>
      <c r="S49" s="283" t="s">
        <v>789</v>
      </c>
      <c r="T49" s="283"/>
      <c r="U49" s="5"/>
      <c r="V49" s="5"/>
      <c r="W49" s="5"/>
      <c r="X49" s="5"/>
    </row>
    <row r="50" spans="1:24" x14ac:dyDescent="0.2">
      <c r="A50" s="118" t="s">
        <v>790</v>
      </c>
      <c r="B50" s="258"/>
      <c r="C50" s="5"/>
      <c r="D50" s="5"/>
      <c r="E50" s="5"/>
      <c r="F50" s="5"/>
      <c r="G50" s="5"/>
      <c r="H50" s="5"/>
      <c r="I50" s="5"/>
      <c r="J50" s="5"/>
      <c r="K50" s="353">
        <f>'Design Conditions'!G35*0.01</f>
        <v>1E-3</v>
      </c>
      <c r="L50" s="354"/>
      <c r="M50" s="118" t="s">
        <v>790</v>
      </c>
      <c r="N50" s="258"/>
      <c r="O50" s="5"/>
      <c r="P50" s="5"/>
      <c r="Q50" s="5"/>
      <c r="R50" s="5"/>
      <c r="S50" s="5"/>
      <c r="T50" s="5"/>
      <c r="U50" s="5"/>
      <c r="V50" s="5"/>
      <c r="W50" s="355">
        <f>K50</f>
        <v>1E-3</v>
      </c>
      <c r="X50" s="354"/>
    </row>
    <row r="51" spans="1:24" ht="15.75" customHeight="1" x14ac:dyDescent="0.25">
      <c r="A51" s="226" t="s">
        <v>791</v>
      </c>
      <c r="B51" s="356">
        <f>+'Main Dimensions Calcs'!E81/1000</f>
        <v>0.8</v>
      </c>
      <c r="C51" s="5" t="s">
        <v>792</v>
      </c>
      <c r="D51" s="5"/>
      <c r="E51" s="5"/>
      <c r="F51" s="5"/>
      <c r="G51" s="283" t="s">
        <v>793</v>
      </c>
      <c r="H51" s="283"/>
      <c r="I51" s="5"/>
      <c r="J51" s="5"/>
      <c r="K51" s="339">
        <f>K50/K46</f>
        <v>0.39835645934724517</v>
      </c>
      <c r="L51" s="265"/>
      <c r="M51" s="226" t="s">
        <v>791</v>
      </c>
      <c r="N51" s="331">
        <f>B51*1000/25.4</f>
        <v>31.496062992125985</v>
      </c>
      <c r="O51" s="64" t="s">
        <v>794</v>
      </c>
      <c r="P51" s="5"/>
      <c r="Q51" s="5"/>
      <c r="R51" s="5"/>
      <c r="S51" s="283" t="s">
        <v>793</v>
      </c>
      <c r="T51" s="283"/>
      <c r="U51" s="5"/>
      <c r="V51" s="5"/>
      <c r="W51" s="339">
        <f>W50/W46</f>
        <v>0.39835645934724517</v>
      </c>
      <c r="X51" s="265"/>
    </row>
    <row r="52" spans="1:24" x14ac:dyDescent="0.2">
      <c r="A52" s="226" t="s">
        <v>795</v>
      </c>
      <c r="B52" s="356">
        <f>'Main Dimensions Calcs'!E85/1000</f>
        <v>0.15</v>
      </c>
      <c r="C52" s="5" t="s">
        <v>796</v>
      </c>
      <c r="D52" s="5"/>
      <c r="E52" s="5"/>
      <c r="F52" s="5"/>
      <c r="G52" s="5"/>
      <c r="H52" s="5"/>
      <c r="I52" s="5"/>
      <c r="J52" s="5"/>
      <c r="K52" s="5"/>
      <c r="L52" s="5"/>
      <c r="M52" s="226" t="s">
        <v>795</v>
      </c>
      <c r="N52" s="331">
        <f>B52*1000/25.4</f>
        <v>5.9055118110236222</v>
      </c>
      <c r="O52" s="5" t="s">
        <v>796</v>
      </c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">
      <c r="A54" s="118" t="s">
        <v>797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118" t="s">
        <v>797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">
      <c r="A55" s="226" t="s">
        <v>798</v>
      </c>
      <c r="B55" s="223">
        <f>B19+2*'Main Dimensions Calcs'!E87/1000+'Main Dimensions Calcs'!H7*2/1000</f>
        <v>21.256</v>
      </c>
      <c r="C55" s="5" t="s">
        <v>799</v>
      </c>
      <c r="D55" s="5"/>
      <c r="E55" s="5"/>
      <c r="F55" s="5"/>
      <c r="G55" s="5"/>
      <c r="H55" s="5"/>
      <c r="I55" s="5"/>
      <c r="J55" s="5"/>
      <c r="K55" s="5"/>
      <c r="L55" s="5"/>
      <c r="M55" s="226" t="s">
        <v>798</v>
      </c>
      <c r="N55" s="331">
        <f>B55*1000/25.4</f>
        <v>836.85039370078744</v>
      </c>
      <c r="O55" s="64" t="s">
        <v>800</v>
      </c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2">
      <c r="A56" s="226" t="s">
        <v>801</v>
      </c>
      <c r="B56" s="273">
        <f>B55-2*B57</f>
        <v>19.456</v>
      </c>
      <c r="C56" s="117" t="s">
        <v>802</v>
      </c>
      <c r="D56" s="117"/>
      <c r="E56" s="117"/>
      <c r="F56" s="117"/>
      <c r="G56" s="5"/>
      <c r="H56" s="5"/>
      <c r="I56" s="5"/>
      <c r="J56" s="5"/>
      <c r="K56" s="5"/>
      <c r="L56" s="5"/>
      <c r="M56" s="226" t="s">
        <v>801</v>
      </c>
      <c r="N56" s="331">
        <f>B56*1000/25.4</f>
        <v>765.98425196850394</v>
      </c>
      <c r="O56" s="64" t="s">
        <v>803</v>
      </c>
      <c r="P56" s="117"/>
      <c r="Q56" s="117"/>
      <c r="R56" s="117"/>
      <c r="S56" s="5"/>
      <c r="T56" s="5"/>
      <c r="U56" s="5"/>
      <c r="V56" s="5"/>
      <c r="W56" s="5"/>
      <c r="X56" s="5"/>
    </row>
    <row r="57" spans="1:24" ht="13.5" customHeight="1" thickBot="1" x14ac:dyDescent="0.25">
      <c r="A57" s="226" t="s">
        <v>804</v>
      </c>
      <c r="B57" s="327">
        <f>'Main Dimensions Calcs'!E86</f>
        <v>0.9</v>
      </c>
      <c r="C57" s="117" t="s">
        <v>805</v>
      </c>
      <c r="D57" s="117"/>
      <c r="E57" s="117"/>
      <c r="F57" s="117"/>
      <c r="G57" s="5"/>
      <c r="H57" s="5"/>
      <c r="I57" s="5"/>
      <c r="J57" s="5"/>
      <c r="K57" s="5"/>
      <c r="L57" s="5"/>
      <c r="M57" s="226" t="s">
        <v>804</v>
      </c>
      <c r="N57" s="331">
        <f>B57*1000/25.4</f>
        <v>35.433070866141733</v>
      </c>
      <c r="O57" s="64" t="s">
        <v>806</v>
      </c>
      <c r="P57" s="117"/>
      <c r="Q57" s="117"/>
      <c r="R57" s="117"/>
      <c r="S57" s="5"/>
      <c r="T57" s="5"/>
      <c r="U57" s="5"/>
      <c r="V57" s="5"/>
      <c r="W57" s="5"/>
      <c r="X57" s="5"/>
    </row>
    <row r="58" spans="1:24" ht="17.25" customHeight="1" thickTop="1" thickBot="1" x14ac:dyDescent="0.3">
      <c r="A58" s="28"/>
      <c r="B58" s="4"/>
      <c r="C58" s="913" t="str">
        <f>'Front Page Thermal Calcs'!$D$1</f>
        <v>Thermal Calculation</v>
      </c>
      <c r="D58" s="842"/>
      <c r="E58" s="842"/>
      <c r="F58" s="843"/>
      <c r="G58" s="6"/>
      <c r="H58" s="5"/>
      <c r="I58" s="973" t="str">
        <f>'Front Page'!$A$13</f>
        <v>Mechanical  Calculations</v>
      </c>
      <c r="J58" s="828"/>
      <c r="K58" s="828"/>
      <c r="L58" s="828"/>
      <c r="M58" s="313"/>
      <c r="N58" s="24"/>
      <c r="O58" s="839" t="str">
        <f>'Front Page Thermal Calcs'!$D$1</f>
        <v>Thermal Calculation</v>
      </c>
      <c r="P58" s="831"/>
      <c r="Q58" s="831"/>
      <c r="R58" s="832"/>
      <c r="S58" s="313"/>
      <c r="T58" s="24"/>
      <c r="U58" s="839" t="str">
        <f>'Front Page'!$A$13</f>
        <v>Mechanical  Calculations</v>
      </c>
      <c r="V58" s="831"/>
      <c r="W58" s="831"/>
      <c r="X58" s="832"/>
    </row>
    <row r="59" spans="1:24" ht="16.5" customHeight="1" thickBot="1" x14ac:dyDescent="0.3">
      <c r="A59" s="6"/>
      <c r="B59" s="5"/>
      <c r="C59" s="839"/>
      <c r="D59" s="831"/>
      <c r="E59" s="831"/>
      <c r="F59" s="832"/>
      <c r="G59" s="6"/>
      <c r="H59" s="5"/>
      <c r="I59" s="973"/>
      <c r="J59" s="828"/>
      <c r="K59" s="828"/>
      <c r="L59" s="828"/>
      <c r="M59" s="34"/>
      <c r="N59" s="5"/>
      <c r="O59" s="839"/>
      <c r="P59" s="831"/>
      <c r="Q59" s="831"/>
      <c r="R59" s="832"/>
      <c r="S59" s="34"/>
      <c r="T59" s="5"/>
      <c r="U59" s="839"/>
      <c r="V59" s="831"/>
      <c r="W59" s="831"/>
      <c r="X59" s="832"/>
    </row>
    <row r="60" spans="1:24" ht="16.5" customHeight="1" thickBot="1" x14ac:dyDescent="0.3">
      <c r="A60" s="8"/>
      <c r="B60" s="9"/>
      <c r="C60" s="839"/>
      <c r="D60" s="831"/>
      <c r="E60" s="831"/>
      <c r="F60" s="832"/>
      <c r="G60" s="8"/>
      <c r="H60" s="9"/>
      <c r="I60" s="227"/>
      <c r="J60" s="228"/>
      <c r="K60" s="228"/>
      <c r="L60" s="228"/>
      <c r="M60" s="35"/>
      <c r="N60" s="9"/>
      <c r="O60" s="839"/>
      <c r="P60" s="831"/>
      <c r="Q60" s="831"/>
      <c r="R60" s="832"/>
      <c r="S60" s="35"/>
      <c r="T60" s="9"/>
      <c r="U60" s="839"/>
      <c r="V60" s="831"/>
      <c r="W60" s="831"/>
      <c r="X60" s="832"/>
    </row>
    <row r="61" spans="1:24" ht="15.75" customHeight="1" thickBot="1" x14ac:dyDescent="0.3">
      <c r="A61" s="974"/>
      <c r="B61" s="848"/>
      <c r="C61" s="129" t="str">
        <f>'Front Page'!$D$4</f>
        <v>Doc Nº</v>
      </c>
      <c r="D61" s="13"/>
      <c r="E61" s="846"/>
      <c r="F61" s="832"/>
      <c r="G61" s="873"/>
      <c r="H61" s="865"/>
      <c r="I61" s="357" t="str">
        <f>'Front Page'!$D$4</f>
        <v>Doc Nº</v>
      </c>
      <c r="J61" s="231"/>
      <c r="K61" s="232"/>
      <c r="L61" s="358"/>
      <c r="M61" s="967"/>
      <c r="N61" s="848"/>
      <c r="O61" s="129" t="str">
        <f>'Front Page'!$D$4</f>
        <v>Doc Nº</v>
      </c>
      <c r="P61" s="13"/>
      <c r="Q61" s="846"/>
      <c r="R61" s="832"/>
      <c r="S61" s="968"/>
      <c r="T61" s="865"/>
      <c r="U61" s="129" t="str">
        <f>'Front Page'!$D$4</f>
        <v>Doc Nº</v>
      </c>
      <c r="V61" s="359"/>
      <c r="W61" s="13"/>
      <c r="X61" s="13"/>
    </row>
    <row r="62" spans="1:24" ht="15.75" customHeight="1" thickBot="1" x14ac:dyDescent="0.3">
      <c r="A62" s="970"/>
      <c r="B62" s="851"/>
      <c r="C62" s="314" t="str">
        <f>'Front Page'!$D$5</f>
        <v>Project</v>
      </c>
      <c r="D62" s="360"/>
      <c r="E62" s="131" t="s">
        <v>5</v>
      </c>
      <c r="F62" s="32"/>
      <c r="G62" s="860"/>
      <c r="H62" s="861"/>
      <c r="I62" s="361" t="str">
        <f>'Front Page'!$D$5</f>
        <v>Project</v>
      </c>
      <c r="J62" s="238"/>
      <c r="K62" s="31" t="s">
        <v>5</v>
      </c>
      <c r="L62" s="319"/>
      <c r="M62" s="969"/>
      <c r="N62" s="828"/>
      <c r="O62" s="129" t="str">
        <f>'Front Page'!$D$5</f>
        <v>Project</v>
      </c>
      <c r="P62" s="359"/>
      <c r="Q62" s="320" t="s">
        <v>5</v>
      </c>
      <c r="R62" s="321"/>
      <c r="S62" s="846"/>
      <c r="T62" s="832"/>
      <c r="U62" s="129" t="str">
        <f>'Front Page'!$D$5</f>
        <v>Project</v>
      </c>
      <c r="V62" s="359"/>
      <c r="W62" s="320" t="s">
        <v>5</v>
      </c>
      <c r="X62" s="13"/>
    </row>
    <row r="63" spans="1:24" ht="13.5" customHeight="1" thickTop="1" x14ac:dyDescent="0.2">
      <c r="A63" s="4"/>
      <c r="B63" s="4"/>
      <c r="C63" s="4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362" t="s">
        <v>807</v>
      </c>
      <c r="B64" s="363"/>
      <c r="C64" s="124"/>
      <c r="D64" s="124"/>
      <c r="E64" s="124"/>
      <c r="F64" s="124"/>
      <c r="G64" s="283" t="s">
        <v>808</v>
      </c>
      <c r="H64" s="283"/>
      <c r="I64" s="5"/>
      <c r="J64" s="5"/>
      <c r="K64" s="5"/>
      <c r="L64" s="5"/>
      <c r="M64" s="362" t="s">
        <v>807</v>
      </c>
      <c r="N64" s="363"/>
      <c r="O64" s="124"/>
      <c r="P64" s="124"/>
      <c r="Q64" s="124"/>
      <c r="R64" s="124"/>
      <c r="S64" s="283" t="s">
        <v>808</v>
      </c>
      <c r="T64" s="283"/>
      <c r="U64" s="5"/>
      <c r="V64" s="5"/>
      <c r="W64" s="5"/>
      <c r="X64" s="5"/>
    </row>
    <row r="65" spans="1:24" ht="14.25" customHeight="1" x14ac:dyDescent="0.2">
      <c r="A65" s="226" t="s">
        <v>809</v>
      </c>
      <c r="B65" s="327">
        <f>'Main Dimensions Calcs'!D20</f>
        <v>91.3</v>
      </c>
      <c r="C65" s="117" t="s">
        <v>810</v>
      </c>
      <c r="D65" s="117"/>
      <c r="E65" s="117"/>
      <c r="F65" s="117"/>
      <c r="G65" s="5"/>
      <c r="H65" s="5"/>
      <c r="I65" s="5"/>
      <c r="J65" s="5"/>
      <c r="K65" s="5"/>
      <c r="L65" s="5"/>
      <c r="M65" s="226" t="s">
        <v>809</v>
      </c>
      <c r="N65" s="327">
        <f>B65*0.062428</f>
        <v>5.6996763999999995</v>
      </c>
      <c r="O65" s="64" t="s">
        <v>811</v>
      </c>
      <c r="P65" s="117"/>
      <c r="Q65" s="117"/>
      <c r="R65" s="117"/>
      <c r="S65" s="5"/>
      <c r="T65" s="5"/>
      <c r="U65" s="5"/>
      <c r="V65" s="5"/>
      <c r="W65" s="5"/>
      <c r="X65" s="5"/>
    </row>
    <row r="66" spans="1:24" ht="15.75" customHeight="1" x14ac:dyDescent="0.25">
      <c r="A66" s="226" t="s">
        <v>812</v>
      </c>
      <c r="B66" s="223">
        <v>120</v>
      </c>
      <c r="C66" s="117" t="s">
        <v>813</v>
      </c>
      <c r="D66" s="117"/>
      <c r="E66" s="117"/>
      <c r="F66" s="117"/>
      <c r="G66" s="102" t="s">
        <v>814</v>
      </c>
      <c r="H66" s="102"/>
      <c r="I66" s="5"/>
      <c r="J66" s="5"/>
      <c r="K66" s="5"/>
      <c r="L66" s="5"/>
      <c r="M66" s="226" t="s">
        <v>812</v>
      </c>
      <c r="N66" s="327">
        <f>B66*0.062428</f>
        <v>7.4913599999999994</v>
      </c>
      <c r="O66" s="64" t="s">
        <v>815</v>
      </c>
      <c r="P66" s="117"/>
      <c r="Q66" s="117"/>
      <c r="R66" s="117"/>
      <c r="S66" s="102" t="s">
        <v>814</v>
      </c>
      <c r="T66" s="102"/>
      <c r="U66" s="5"/>
      <c r="V66" s="5"/>
      <c r="W66" s="5"/>
      <c r="X66" s="5"/>
    </row>
    <row r="67" spans="1:24" x14ac:dyDescent="0.2">
      <c r="A67" s="5"/>
      <c r="B67" s="5"/>
      <c r="C67" s="5"/>
      <c r="D67" s="5"/>
      <c r="E67" s="5"/>
      <c r="F67" s="5"/>
      <c r="G67" s="5" t="s">
        <v>402</v>
      </c>
      <c r="H67" s="5"/>
      <c r="I67" s="5"/>
      <c r="J67" s="5"/>
      <c r="K67" s="5">
        <f>'Main Dimensions Calcs'!E83</f>
        <v>100</v>
      </c>
      <c r="L67" s="5" t="s">
        <v>247</v>
      </c>
      <c r="M67" s="5"/>
      <c r="N67" s="5"/>
      <c r="O67" s="5"/>
      <c r="P67" s="5"/>
      <c r="Q67" s="5"/>
      <c r="R67" s="5"/>
      <c r="S67" s="5" t="s">
        <v>402</v>
      </c>
      <c r="T67" s="5"/>
      <c r="U67" s="5"/>
      <c r="V67" s="5"/>
      <c r="W67" s="5">
        <f>K67*25.4</f>
        <v>2540</v>
      </c>
      <c r="X67" s="64" t="s">
        <v>248</v>
      </c>
    </row>
    <row r="68" spans="1:24" ht="15.75" customHeight="1" x14ac:dyDescent="0.25">
      <c r="A68" s="102" t="s">
        <v>816</v>
      </c>
      <c r="B68" s="5"/>
      <c r="C68" s="326"/>
      <c r="D68" s="5"/>
      <c r="E68" s="5"/>
      <c r="F68" s="5"/>
      <c r="G68" s="5" t="s">
        <v>405</v>
      </c>
      <c r="H68" s="5"/>
      <c r="I68" s="5"/>
      <c r="J68" s="5"/>
      <c r="K68" s="5">
        <f>'Main Dimensions Calcs'!E84</f>
        <v>100</v>
      </c>
      <c r="L68" s="5" t="s">
        <v>247</v>
      </c>
      <c r="M68" s="102" t="s">
        <v>816</v>
      </c>
      <c r="N68" s="5"/>
      <c r="O68" s="326"/>
      <c r="P68" s="5"/>
      <c r="Q68" s="5"/>
      <c r="R68" s="5"/>
      <c r="S68" s="5" t="s">
        <v>405</v>
      </c>
      <c r="T68" s="5"/>
      <c r="U68" s="5"/>
      <c r="V68" s="5"/>
      <c r="W68" s="5">
        <f>K68*25.4</f>
        <v>2540</v>
      </c>
      <c r="X68" s="64" t="s">
        <v>248</v>
      </c>
    </row>
    <row r="69" spans="1:24" x14ac:dyDescent="0.2">
      <c r="A69" s="5" t="s">
        <v>817</v>
      </c>
      <c r="B69" s="364">
        <v>2.5000000000000001E-2</v>
      </c>
      <c r="C69" s="5" t="s">
        <v>818</v>
      </c>
      <c r="D69" s="5"/>
      <c r="E69" s="5"/>
      <c r="F69" s="5"/>
      <c r="G69" s="5" t="s">
        <v>406</v>
      </c>
      <c r="H69" s="5"/>
      <c r="I69" s="5"/>
      <c r="J69" s="5"/>
      <c r="K69" s="5">
        <f>'Main Dimensions Calcs'!E85</f>
        <v>150</v>
      </c>
      <c r="L69" s="5" t="s">
        <v>247</v>
      </c>
      <c r="M69" s="5" t="s">
        <v>817</v>
      </c>
      <c r="N69" s="364">
        <f>B69*6.764</f>
        <v>0.16910000000000003</v>
      </c>
      <c r="O69" s="64" t="s">
        <v>819</v>
      </c>
      <c r="P69" s="5"/>
      <c r="Q69" s="5"/>
      <c r="R69" s="5"/>
      <c r="S69" s="5" t="s">
        <v>406</v>
      </c>
      <c r="T69" s="5"/>
      <c r="U69" s="5"/>
      <c r="V69" s="5"/>
      <c r="W69" s="5">
        <f>K69*25.4</f>
        <v>3810</v>
      </c>
      <c r="X69" s="64" t="s">
        <v>248</v>
      </c>
    </row>
    <row r="70" spans="1:24" x14ac:dyDescent="0.2">
      <c r="A70" s="5"/>
      <c r="B70" s="332"/>
      <c r="C70" s="5"/>
      <c r="D70" s="5"/>
      <c r="E70" s="5"/>
      <c r="F70" s="5"/>
      <c r="G70" s="5" t="s">
        <v>820</v>
      </c>
      <c r="H70" s="5"/>
      <c r="I70" s="5"/>
      <c r="J70" s="5"/>
      <c r="K70" s="306">
        <f>PI()*B27^2/4*K67*2.5</f>
        <v>107513.15458747667</v>
      </c>
      <c r="L70" s="5" t="s">
        <v>447</v>
      </c>
      <c r="M70" s="5"/>
      <c r="N70" s="332"/>
      <c r="O70" s="5"/>
      <c r="P70" s="5"/>
      <c r="Q70" s="5"/>
      <c r="R70" s="5"/>
      <c r="S70" s="5" t="s">
        <v>820</v>
      </c>
      <c r="T70" s="5"/>
      <c r="U70" s="5"/>
      <c r="V70" s="5"/>
      <c r="W70" s="306">
        <f>K70*2.205</f>
        <v>237066.50586538608</v>
      </c>
      <c r="X70" s="64" t="s">
        <v>821</v>
      </c>
    </row>
    <row r="71" spans="1:24" x14ac:dyDescent="0.2">
      <c r="A71" s="5"/>
      <c r="B71" s="332"/>
      <c r="C71" s="5"/>
      <c r="D71" s="5"/>
      <c r="E71" s="5"/>
      <c r="F71" s="5"/>
      <c r="G71" s="5" t="s">
        <v>822</v>
      </c>
      <c r="H71" s="5"/>
      <c r="I71" s="5"/>
      <c r="J71" s="5"/>
      <c r="K71" s="306">
        <f>PI()*B55^2/4*K68*2.5</f>
        <v>88714.165741290126</v>
      </c>
      <c r="L71" s="5" t="s">
        <v>447</v>
      </c>
      <c r="M71" s="5"/>
      <c r="N71" s="332"/>
      <c r="O71" s="5"/>
      <c r="P71" s="5"/>
      <c r="Q71" s="5"/>
      <c r="R71" s="5"/>
      <c r="S71" s="5" t="s">
        <v>822</v>
      </c>
      <c r="T71" s="5"/>
      <c r="U71" s="5"/>
      <c r="V71" s="5"/>
      <c r="W71" s="306">
        <f>K71*2.205</f>
        <v>195614.73545954473</v>
      </c>
      <c r="X71" s="64" t="s">
        <v>821</v>
      </c>
    </row>
    <row r="72" spans="1:24" ht="15.75" customHeight="1" x14ac:dyDescent="0.25">
      <c r="A72" s="102" t="s">
        <v>823</v>
      </c>
      <c r="B72" s="332"/>
      <c r="C72" s="326"/>
      <c r="D72" s="5"/>
      <c r="E72" s="5"/>
      <c r="F72" s="5"/>
      <c r="G72" s="5" t="s">
        <v>824</v>
      </c>
      <c r="H72" s="5"/>
      <c r="I72" s="5"/>
      <c r="J72" s="5"/>
      <c r="K72" s="306">
        <f>PI()*(B55^2/4-B56^2/4)*K69*2.5</f>
        <v>21583.212769059923</v>
      </c>
      <c r="L72" s="5" t="s">
        <v>447</v>
      </c>
      <c r="M72" s="102" t="s">
        <v>823</v>
      </c>
      <c r="N72" s="332"/>
      <c r="O72" s="326"/>
      <c r="P72" s="5"/>
      <c r="Q72" s="5"/>
      <c r="R72" s="5"/>
      <c r="S72" s="5" t="s">
        <v>824</v>
      </c>
      <c r="T72" s="5"/>
      <c r="U72" s="5"/>
      <c r="V72" s="5"/>
      <c r="W72" s="306">
        <f>K72*2.205</f>
        <v>47590.984155777129</v>
      </c>
      <c r="X72" s="64" t="s">
        <v>821</v>
      </c>
    </row>
    <row r="73" spans="1:24" x14ac:dyDescent="0.2">
      <c r="A73" s="5" t="s">
        <v>825</v>
      </c>
      <c r="B73" s="365">
        <v>0.03</v>
      </c>
      <c r="C73" s="5" t="s">
        <v>818</v>
      </c>
      <c r="D73" s="366" t="s">
        <v>826</v>
      </c>
      <c r="E73" s="5"/>
      <c r="F73" s="5"/>
      <c r="G73" s="5" t="s">
        <v>827</v>
      </c>
      <c r="H73" s="5"/>
      <c r="I73" s="5"/>
      <c r="J73" s="5"/>
      <c r="K73" s="306">
        <f>(PI()*B55^2/4*B51+PI()*B56^2/4*(B52))*B66</f>
        <v>39417.665365113418</v>
      </c>
      <c r="L73" s="5" t="s">
        <v>447</v>
      </c>
      <c r="M73" s="5" t="s">
        <v>825</v>
      </c>
      <c r="N73" s="364">
        <f>B73*6.764</f>
        <v>0.20291999999999999</v>
      </c>
      <c r="O73" s="64" t="s">
        <v>819</v>
      </c>
      <c r="P73" s="366" t="s">
        <v>828</v>
      </c>
      <c r="Q73" s="5"/>
      <c r="R73" s="5"/>
      <c r="S73" s="5" t="s">
        <v>827</v>
      </c>
      <c r="T73" s="5"/>
      <c r="U73" s="5"/>
      <c r="V73" s="5"/>
      <c r="W73" s="306">
        <f>K73*2.205</f>
        <v>86915.952130075093</v>
      </c>
      <c r="X73" s="64" t="s">
        <v>821</v>
      </c>
    </row>
    <row r="74" spans="1:24" x14ac:dyDescent="0.2">
      <c r="A74" s="266" t="s">
        <v>829</v>
      </c>
      <c r="B74" s="365">
        <v>0.03</v>
      </c>
      <c r="C74" s="266" t="s">
        <v>818</v>
      </c>
      <c r="D74" s="367" t="s">
        <v>830</v>
      </c>
      <c r="E74" s="5"/>
      <c r="F74" s="5"/>
      <c r="G74" s="5" t="s">
        <v>831</v>
      </c>
      <c r="H74" s="5"/>
      <c r="I74" s="5"/>
      <c r="J74" s="5"/>
      <c r="K74" s="306">
        <f>SUM(K70:K73)</f>
        <v>257228.19846294014</v>
      </c>
      <c r="L74" s="5" t="s">
        <v>447</v>
      </c>
      <c r="M74" s="335" t="s">
        <v>829</v>
      </c>
      <c r="N74" s="364">
        <f>B74*6.764</f>
        <v>0.20291999999999999</v>
      </c>
      <c r="O74" s="335" t="s">
        <v>819</v>
      </c>
      <c r="P74" s="368" t="s">
        <v>830</v>
      </c>
      <c r="Q74" s="5"/>
      <c r="R74" s="5"/>
      <c r="S74" s="5" t="s">
        <v>831</v>
      </c>
      <c r="T74" s="5"/>
      <c r="U74" s="5"/>
      <c r="V74" s="5"/>
      <c r="W74" s="306">
        <f>K74*2.205</f>
        <v>567188.17761078302</v>
      </c>
      <c r="X74" s="64" t="s">
        <v>821</v>
      </c>
    </row>
    <row r="75" spans="1:24" ht="15.75" customHeight="1" x14ac:dyDescent="0.25">
      <c r="A75" s="102" t="s">
        <v>832</v>
      </c>
      <c r="B75" s="332"/>
      <c r="C75" s="5"/>
      <c r="D75" s="5"/>
      <c r="E75" s="5"/>
      <c r="F75" s="5"/>
      <c r="G75" s="5"/>
      <c r="H75" s="5"/>
      <c r="I75" s="5"/>
      <c r="J75" s="5"/>
      <c r="K75" s="5"/>
      <c r="L75" s="5"/>
      <c r="M75" s="102" t="s">
        <v>832</v>
      </c>
      <c r="N75" s="332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 t="s">
        <v>833</v>
      </c>
      <c r="B76" s="324">
        <v>14</v>
      </c>
      <c r="C76" s="5" t="s">
        <v>818</v>
      </c>
      <c r="D76" s="5"/>
      <c r="E76" s="5"/>
      <c r="F76" s="5"/>
      <c r="G76" s="102" t="s">
        <v>834</v>
      </c>
      <c r="H76" s="102"/>
      <c r="I76" s="5"/>
      <c r="J76" s="5"/>
      <c r="K76" s="5"/>
      <c r="L76" s="5"/>
      <c r="M76" s="5" t="s">
        <v>833</v>
      </c>
      <c r="N76" s="364">
        <f>B76*6.764</f>
        <v>94.695999999999998</v>
      </c>
      <c r="O76" s="64" t="s">
        <v>819</v>
      </c>
      <c r="P76" s="5"/>
      <c r="Q76" s="5"/>
      <c r="R76" s="5"/>
      <c r="S76" s="102" t="s">
        <v>834</v>
      </c>
      <c r="T76" s="102"/>
      <c r="U76" s="5"/>
      <c r="V76" s="5"/>
      <c r="W76" s="5"/>
      <c r="X76" s="5"/>
    </row>
    <row r="77" spans="1:24" x14ac:dyDescent="0.2">
      <c r="A77" s="5"/>
      <c r="B77" s="324"/>
      <c r="C77" s="5"/>
      <c r="D77" s="5"/>
      <c r="E77" s="5"/>
      <c r="F77" s="5"/>
      <c r="G77" s="5" t="s">
        <v>835</v>
      </c>
      <c r="H77" s="5"/>
      <c r="I77" s="5"/>
      <c r="J77" s="5"/>
      <c r="K77" s="306">
        <f>PI()/4*(B27^2-B55^2)*K67/1000*2500</f>
        <v>18798.988846186563</v>
      </c>
      <c r="L77" s="5" t="s">
        <v>447</v>
      </c>
      <c r="M77" s="5"/>
      <c r="N77" s="332"/>
      <c r="O77" s="5"/>
      <c r="P77" s="5"/>
      <c r="Q77" s="5"/>
      <c r="R77" s="5"/>
      <c r="S77" s="5" t="s">
        <v>835</v>
      </c>
      <c r="T77" s="5"/>
      <c r="U77" s="5"/>
      <c r="V77" s="5"/>
      <c r="W77" s="306">
        <f>K77*2.205</f>
        <v>41451.770405841373</v>
      </c>
      <c r="X77" s="64" t="s">
        <v>821</v>
      </c>
    </row>
    <row r="78" spans="1:24" ht="15.75" customHeight="1" x14ac:dyDescent="0.25">
      <c r="A78" s="102" t="s">
        <v>836</v>
      </c>
      <c r="B78" s="324"/>
      <c r="C78" s="5"/>
      <c r="D78" s="5"/>
      <c r="E78" s="5"/>
      <c r="F78" s="5"/>
      <c r="G78" s="5" t="s">
        <v>837</v>
      </c>
      <c r="H78" s="5"/>
      <c r="I78" s="5"/>
      <c r="J78" s="5"/>
      <c r="K78" s="306">
        <f>PI()/4*(B27^2-B19^2)*B28*B65</f>
        <v>78740.357588565123</v>
      </c>
      <c r="L78" s="5" t="s">
        <v>447</v>
      </c>
      <c r="M78" s="102" t="s">
        <v>836</v>
      </c>
      <c r="N78" s="332"/>
      <c r="O78" s="5"/>
      <c r="P78" s="5"/>
      <c r="Q78" s="5"/>
      <c r="R78" s="5"/>
      <c r="S78" s="5" t="s">
        <v>837</v>
      </c>
      <c r="T78" s="5"/>
      <c r="U78" s="5"/>
      <c r="V78" s="5"/>
      <c r="W78" s="306">
        <f>K78*2.205</f>
        <v>173622.48848278611</v>
      </c>
      <c r="X78" s="64" t="s">
        <v>821</v>
      </c>
    </row>
    <row r="79" spans="1:24" ht="14.25" customHeight="1" x14ac:dyDescent="0.2">
      <c r="A79" s="5" t="s">
        <v>838</v>
      </c>
      <c r="B79" s="324">
        <f>(PI()*B19^2*B21/4)*B12</f>
        <v>1171453.1913240603</v>
      </c>
      <c r="C79" s="5" t="s">
        <v>839</v>
      </c>
      <c r="D79" s="5" t="s">
        <v>840</v>
      </c>
      <c r="E79" s="5"/>
      <c r="F79" s="5"/>
      <c r="G79" s="5"/>
      <c r="H79" s="5"/>
      <c r="I79" s="5"/>
      <c r="J79" s="5"/>
      <c r="K79" s="5"/>
      <c r="L79" s="5"/>
      <c r="M79" s="5" t="s">
        <v>838</v>
      </c>
      <c r="N79" s="338">
        <f>B79*2.205</f>
        <v>2583054.2868695529</v>
      </c>
      <c r="O79" s="64" t="s">
        <v>821</v>
      </c>
      <c r="P79" s="5" t="s">
        <v>840</v>
      </c>
      <c r="Q79" s="5"/>
      <c r="R79" s="5"/>
      <c r="S79" s="5" t="s">
        <v>841</v>
      </c>
      <c r="T79" s="5"/>
      <c r="U79" s="5"/>
      <c r="V79" s="5"/>
      <c r="W79" s="306">
        <f>K81*2.205</f>
        <v>93935.92777616535</v>
      </c>
      <c r="X79" s="64" t="s">
        <v>821</v>
      </c>
    </row>
    <row r="80" spans="1:24" ht="15.75" customHeight="1" x14ac:dyDescent="0.25">
      <c r="A80" s="5"/>
      <c r="B80" s="324"/>
      <c r="C80" s="5"/>
      <c r="D80" s="5"/>
      <c r="E80" s="5"/>
      <c r="F80" s="5"/>
      <c r="G80" s="102" t="s">
        <v>841</v>
      </c>
      <c r="H80" s="102"/>
      <c r="I80" s="5"/>
      <c r="J80" s="5"/>
      <c r="K80" s="5"/>
      <c r="L80" s="5"/>
      <c r="M80" s="5"/>
      <c r="N80" s="332"/>
      <c r="O80" s="5"/>
      <c r="P80" s="5"/>
      <c r="Q80" s="5"/>
      <c r="R80" s="5"/>
      <c r="S80" s="5" t="s">
        <v>842</v>
      </c>
      <c r="T80" s="5"/>
      <c r="U80" s="5"/>
      <c r="V80" s="5"/>
      <c r="W80" s="332">
        <f>K84*1000/25.4</f>
        <v>55.118110236220424</v>
      </c>
      <c r="X80" s="64" t="s">
        <v>248</v>
      </c>
    </row>
    <row r="81" spans="1:24" x14ac:dyDescent="0.2">
      <c r="A81" s="5"/>
      <c r="B81" s="324"/>
      <c r="C81" s="326"/>
      <c r="D81" s="5"/>
      <c r="E81" s="5"/>
      <c r="F81" s="5"/>
      <c r="G81" s="5" t="s">
        <v>841</v>
      </c>
      <c r="H81" s="5"/>
      <c r="I81" s="5"/>
      <c r="J81" s="5"/>
      <c r="K81" s="306">
        <f>PI()*B19^2/4*K84*B65</f>
        <v>42601.32778964415</v>
      </c>
      <c r="L81" s="5" t="s">
        <v>447</v>
      </c>
      <c r="M81" s="5"/>
      <c r="N81" s="332"/>
      <c r="O81" s="326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102" t="s">
        <v>843</v>
      </c>
      <c r="B82" s="324"/>
      <c r="C82" s="326"/>
      <c r="D82" s="5"/>
      <c r="E82" s="5"/>
      <c r="F82" s="5"/>
      <c r="G82" s="5"/>
      <c r="H82" s="5"/>
      <c r="I82" s="5"/>
      <c r="J82" s="5"/>
      <c r="K82" s="5"/>
      <c r="L82" s="5"/>
      <c r="M82" s="102" t="s">
        <v>843</v>
      </c>
      <c r="N82" s="332"/>
      <c r="O82" s="326"/>
      <c r="P82" s="5"/>
      <c r="Q82" s="5"/>
      <c r="R82" s="5"/>
      <c r="S82" s="102" t="s">
        <v>844</v>
      </c>
      <c r="T82" s="5"/>
      <c r="U82" s="5"/>
      <c r="V82" s="5"/>
      <c r="W82" s="5"/>
      <c r="X82" s="5"/>
    </row>
    <row r="83" spans="1:24" x14ac:dyDescent="0.2">
      <c r="A83" s="5" t="s">
        <v>845</v>
      </c>
      <c r="B83" s="324">
        <f>+((B20-B33*B35)*(B19+2*B22)+B33*B35*B34)/B20</f>
        <v>20.617999999999999</v>
      </c>
      <c r="C83" s="5" t="s">
        <v>408</v>
      </c>
      <c r="D83" s="5" t="s">
        <v>846</v>
      </c>
      <c r="E83" s="5"/>
      <c r="F83" s="5"/>
      <c r="G83" s="369"/>
      <c r="H83" s="369"/>
      <c r="I83" s="5"/>
      <c r="J83" s="5"/>
      <c r="K83" s="370"/>
      <c r="L83" s="5"/>
      <c r="M83" s="5" t="s">
        <v>845</v>
      </c>
      <c r="N83" s="331">
        <f>B83*1000/25.4</f>
        <v>811.73228346456699</v>
      </c>
      <c r="O83" s="64" t="s">
        <v>248</v>
      </c>
      <c r="P83" s="5" t="s">
        <v>846</v>
      </c>
      <c r="Q83" s="5"/>
      <c r="R83" s="5"/>
      <c r="S83" s="5" t="s">
        <v>847</v>
      </c>
      <c r="T83" s="5"/>
      <c r="U83" s="5"/>
      <c r="V83" s="5"/>
      <c r="W83" s="265">
        <f>K88*35.315</f>
        <v>11600.29043640817</v>
      </c>
      <c r="X83" s="64" t="s">
        <v>848</v>
      </c>
    </row>
    <row r="84" spans="1:24" x14ac:dyDescent="0.2">
      <c r="A84" s="5"/>
      <c r="B84" s="324"/>
      <c r="C84" s="326"/>
      <c r="D84" s="5"/>
      <c r="E84" s="5"/>
      <c r="F84" s="5"/>
      <c r="G84" s="369" t="s">
        <v>842</v>
      </c>
      <c r="H84" s="369"/>
      <c r="I84" s="5"/>
      <c r="J84" s="5"/>
      <c r="K84" s="370">
        <f>B48</f>
        <v>1.3999999999999986</v>
      </c>
      <c r="L84" s="5"/>
      <c r="M84" s="5"/>
      <c r="N84" s="332"/>
      <c r="O84" s="326"/>
      <c r="P84" s="5"/>
      <c r="Q84" s="5"/>
      <c r="R84" s="5"/>
      <c r="S84" s="5" t="s">
        <v>849</v>
      </c>
      <c r="T84" s="5"/>
      <c r="U84" s="5"/>
      <c r="V84" s="5"/>
      <c r="W84" s="265">
        <f>K89*35.315</f>
        <v>30456.908304930748</v>
      </c>
      <c r="X84" s="64" t="s">
        <v>848</v>
      </c>
    </row>
    <row r="85" spans="1:24" x14ac:dyDescent="0.2">
      <c r="A85" s="5"/>
      <c r="B85" s="324"/>
      <c r="C85" s="326"/>
      <c r="D85" s="5"/>
      <c r="E85" s="5"/>
      <c r="F85" s="5"/>
      <c r="G85" s="5"/>
      <c r="H85" s="5"/>
      <c r="I85" s="5"/>
      <c r="J85" s="5"/>
      <c r="K85" s="5"/>
      <c r="L85" s="5"/>
      <c r="M85" s="5"/>
      <c r="N85" s="332"/>
      <c r="O85" s="326"/>
      <c r="P85" s="5"/>
      <c r="Q85" s="5"/>
      <c r="R85" s="5"/>
      <c r="S85" s="5" t="s">
        <v>850</v>
      </c>
      <c r="T85" s="5"/>
      <c r="U85" s="5"/>
      <c r="V85" s="5"/>
      <c r="W85" s="265">
        <f>K90*35.315</f>
        <v>16478.268246344833</v>
      </c>
      <c r="X85" s="64" t="s">
        <v>848</v>
      </c>
    </row>
    <row r="86" spans="1:24" ht="15.75" customHeight="1" x14ac:dyDescent="0.25">
      <c r="A86" s="102" t="s">
        <v>851</v>
      </c>
      <c r="B86" s="324"/>
      <c r="C86" s="326"/>
      <c r="D86" s="5"/>
      <c r="E86" s="5"/>
      <c r="F86" s="5"/>
      <c r="G86" s="5"/>
      <c r="H86" s="5"/>
      <c r="I86" s="5"/>
      <c r="J86" s="5"/>
      <c r="K86" s="5"/>
      <c r="L86" s="5"/>
      <c r="M86" s="102" t="s">
        <v>851</v>
      </c>
      <c r="N86" s="332"/>
      <c r="O86" s="326"/>
      <c r="P86" s="5"/>
      <c r="Q86" s="5"/>
      <c r="R86" s="5"/>
      <c r="S86" s="5"/>
      <c r="T86" s="5"/>
      <c r="U86" s="5"/>
      <c r="V86" s="5"/>
      <c r="W86" s="5"/>
      <c r="X86" s="5"/>
    </row>
    <row r="87" spans="1:24" x14ac:dyDescent="0.2">
      <c r="A87" s="5" t="s">
        <v>852</v>
      </c>
      <c r="B87" s="324">
        <f>+((B28-B38*B40)*B27+B38*B40*B39)/B28</f>
        <v>23.39912039022563</v>
      </c>
      <c r="C87" s="5" t="s">
        <v>408</v>
      </c>
      <c r="D87" s="5" t="s">
        <v>853</v>
      </c>
      <c r="E87" s="5"/>
      <c r="F87" s="5"/>
      <c r="G87" s="5"/>
      <c r="H87" s="5"/>
      <c r="I87" s="5"/>
      <c r="J87" s="5"/>
      <c r="K87" s="5"/>
      <c r="L87" s="5"/>
      <c r="M87" s="5" t="s">
        <v>852</v>
      </c>
      <c r="N87" s="331">
        <f>B87*1000/25.4</f>
        <v>921.22521221360762</v>
      </c>
      <c r="O87" s="64" t="s">
        <v>248</v>
      </c>
      <c r="P87" s="5" t="s">
        <v>853</v>
      </c>
      <c r="Q87" s="5"/>
      <c r="R87" s="5"/>
      <c r="S87" s="5"/>
      <c r="T87" s="5"/>
      <c r="U87" s="5"/>
      <c r="V87" s="5"/>
      <c r="W87" s="5"/>
      <c r="X87" s="5"/>
    </row>
    <row r="88" spans="1:24" x14ac:dyDescent="0.2">
      <c r="A88" s="5"/>
      <c r="B88" s="335"/>
      <c r="C88" s="326"/>
      <c r="D88" s="5"/>
      <c r="E88" s="5"/>
      <c r="F88" s="5"/>
      <c r="G88" s="5" t="s">
        <v>847</v>
      </c>
      <c r="H88" s="5"/>
      <c r="I88" s="5"/>
      <c r="J88" s="5"/>
      <c r="K88" s="5">
        <f>(PI()*B55^2/4*B51+PI()*B56^2/4*(B52))</f>
        <v>328.48054470927849</v>
      </c>
      <c r="L88" s="5"/>
      <c r="M88" s="5"/>
      <c r="N88" s="5"/>
      <c r="O88" s="326"/>
      <c r="P88" s="5"/>
      <c r="Q88" s="5"/>
      <c r="R88" s="5"/>
      <c r="S88" s="5"/>
      <c r="T88" s="5"/>
      <c r="U88" s="5"/>
      <c r="V88" s="5"/>
      <c r="W88" s="5"/>
      <c r="X88" s="5"/>
    </row>
    <row r="89" spans="1:24" x14ac:dyDescent="0.2">
      <c r="A89" s="5"/>
      <c r="B89" s="335"/>
      <c r="C89" s="326"/>
      <c r="D89" s="5"/>
      <c r="E89" s="5"/>
      <c r="F89" s="5"/>
      <c r="G89" s="5" t="s">
        <v>849</v>
      </c>
      <c r="H89" s="5"/>
      <c r="I89" s="5"/>
      <c r="J89" s="5"/>
      <c r="K89" s="5">
        <f>PI()/4*(B27^2-B19^2)*B28</f>
        <v>862.435460991951</v>
      </c>
      <c r="L89" s="5"/>
      <c r="M89" s="5"/>
      <c r="N89" s="5"/>
      <c r="O89" s="326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102" t="s">
        <v>854</v>
      </c>
      <c r="B90" s="335"/>
      <c r="C90" s="326"/>
      <c r="D90" s="5"/>
      <c r="E90" s="5"/>
      <c r="F90" s="5"/>
      <c r="G90" s="5" t="s">
        <v>850</v>
      </c>
      <c r="H90" s="5"/>
      <c r="I90" s="5"/>
      <c r="J90" s="5"/>
      <c r="K90" s="5">
        <f>PI()*B19^2/4*K84</f>
        <v>466.60819046707724</v>
      </c>
      <c r="L90" s="5"/>
      <c r="M90" s="102" t="s">
        <v>854</v>
      </c>
      <c r="N90" s="5"/>
      <c r="O90" s="326"/>
      <c r="P90" s="5"/>
      <c r="Q90" s="5"/>
      <c r="R90" s="5"/>
      <c r="S90" s="5"/>
      <c r="T90" s="5"/>
      <c r="U90" s="5"/>
      <c r="V90" s="5"/>
      <c r="W90" s="5"/>
      <c r="X90" s="5"/>
    </row>
    <row r="91" spans="1:24" x14ac:dyDescent="0.2">
      <c r="A91" s="5" t="s">
        <v>855</v>
      </c>
      <c r="B91" s="335">
        <f>+B16-B11</f>
        <v>211</v>
      </c>
      <c r="C91" s="5" t="s">
        <v>856</v>
      </c>
      <c r="D91" s="5" t="s">
        <v>857</v>
      </c>
      <c r="E91" s="5"/>
      <c r="F91" s="5"/>
      <c r="G91" s="5"/>
      <c r="H91" s="5"/>
      <c r="I91" s="5"/>
      <c r="J91" s="5"/>
      <c r="K91" s="5"/>
      <c r="L91" s="5"/>
      <c r="M91" s="5" t="s">
        <v>855</v>
      </c>
      <c r="N91" s="335">
        <f>B91*1.8+32</f>
        <v>411.8</v>
      </c>
      <c r="O91" s="64" t="s">
        <v>858</v>
      </c>
      <c r="P91" s="5" t="s">
        <v>857</v>
      </c>
      <c r="Q91" s="5"/>
      <c r="R91" s="5"/>
      <c r="S91" s="5"/>
      <c r="T91" s="5"/>
      <c r="U91" s="5"/>
      <c r="V91" s="5"/>
      <c r="W91" s="5"/>
      <c r="X91" s="5"/>
    </row>
    <row r="92" spans="1:24" x14ac:dyDescent="0.2">
      <c r="A92" s="5"/>
      <c r="B92" s="335"/>
      <c r="C92" s="32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326"/>
      <c r="P92" s="5"/>
      <c r="Q92" s="5"/>
      <c r="R92" s="5"/>
      <c r="S92" s="5"/>
      <c r="T92" s="5"/>
      <c r="U92" s="5"/>
      <c r="V92" s="5"/>
      <c r="W92" s="5"/>
      <c r="X92" s="5"/>
    </row>
    <row r="93" spans="1:24" x14ac:dyDescent="0.2">
      <c r="A93" s="5"/>
      <c r="B93" s="335"/>
      <c r="C93" s="32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326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102" t="s">
        <v>859</v>
      </c>
      <c r="B94" s="335"/>
      <c r="C94" s="326"/>
      <c r="D94" s="5"/>
      <c r="E94" s="5"/>
      <c r="F94" s="5"/>
      <c r="G94" s="5"/>
      <c r="H94" s="5"/>
      <c r="I94" s="5"/>
      <c r="J94" s="5"/>
      <c r="K94" s="5"/>
      <c r="L94" s="5"/>
      <c r="M94" s="102" t="s">
        <v>859</v>
      </c>
      <c r="N94" s="5"/>
      <c r="O94" s="326"/>
      <c r="P94" s="5"/>
      <c r="Q94" s="5"/>
      <c r="R94" s="5"/>
      <c r="S94" s="5"/>
      <c r="T94" s="5"/>
      <c r="U94" s="5"/>
      <c r="V94" s="5"/>
      <c r="W94" s="5"/>
      <c r="X94" s="5"/>
    </row>
    <row r="95" spans="1:24" x14ac:dyDescent="0.2">
      <c r="A95" s="5" t="s">
        <v>860</v>
      </c>
      <c r="B95" s="335">
        <f>(B11+B16)/2</f>
        <v>-90.5</v>
      </c>
      <c r="C95" s="5" t="s">
        <v>856</v>
      </c>
      <c r="D95" s="5" t="s">
        <v>861</v>
      </c>
      <c r="E95" s="5"/>
      <c r="F95" s="5"/>
      <c r="G95" s="5"/>
      <c r="H95" s="5"/>
      <c r="I95" s="5"/>
      <c r="J95" s="5"/>
      <c r="K95" s="5"/>
      <c r="L95" s="5"/>
      <c r="M95" s="5" t="s">
        <v>860</v>
      </c>
      <c r="N95" s="335">
        <f>B95*1.8+32</f>
        <v>-130.9</v>
      </c>
      <c r="O95" s="64" t="s">
        <v>858</v>
      </c>
      <c r="P95" s="5" t="s">
        <v>861</v>
      </c>
      <c r="Q95" s="5"/>
      <c r="R95" s="5"/>
      <c r="S95" s="5"/>
      <c r="T95" s="5"/>
      <c r="U95" s="5"/>
      <c r="V95" s="5"/>
      <c r="W95" s="5"/>
      <c r="X95" s="5"/>
    </row>
    <row r="96" spans="1:24" x14ac:dyDescent="0.2">
      <c r="A96" s="5"/>
      <c r="B96" s="33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283" t="s">
        <v>862</v>
      </c>
      <c r="B97" s="371"/>
      <c r="C97" s="226"/>
      <c r="D97" s="258"/>
      <c r="E97" s="258"/>
      <c r="F97" s="258"/>
      <c r="G97" s="5"/>
      <c r="H97" s="5"/>
      <c r="I97" s="5"/>
      <c r="J97" s="5"/>
      <c r="K97" s="5"/>
      <c r="L97" s="226"/>
      <c r="M97" s="283" t="s">
        <v>862</v>
      </c>
      <c r="N97" s="283"/>
      <c r="O97" s="226"/>
      <c r="P97" s="258"/>
      <c r="Q97" s="258"/>
      <c r="R97" s="258"/>
      <c r="S97" s="5"/>
      <c r="T97" s="5"/>
      <c r="U97" s="5"/>
      <c r="V97" s="5"/>
      <c r="W97" s="5"/>
      <c r="X97" s="226"/>
    </row>
    <row r="98" spans="1:24" x14ac:dyDescent="0.2">
      <c r="A98" s="5"/>
      <c r="B98" s="335"/>
      <c r="C98" s="226"/>
      <c r="D98" s="258"/>
      <c r="E98" s="258"/>
      <c r="F98" s="258"/>
      <c r="G98" s="5"/>
      <c r="H98" s="5"/>
      <c r="I98" s="5"/>
      <c r="J98" s="5"/>
      <c r="K98" s="5"/>
      <c r="L98" s="5"/>
      <c r="M98" s="5"/>
      <c r="N98" s="5"/>
      <c r="O98" s="226"/>
      <c r="P98" s="258"/>
      <c r="Q98" s="258"/>
      <c r="R98" s="258"/>
      <c r="S98" s="5"/>
      <c r="T98" s="5"/>
      <c r="U98" s="5"/>
      <c r="V98" s="5"/>
      <c r="W98" s="5"/>
      <c r="X98" s="5"/>
    </row>
    <row r="99" spans="1:24" ht="15.75" customHeight="1" x14ac:dyDescent="0.25">
      <c r="A99" s="102" t="s">
        <v>863</v>
      </c>
      <c r="B99" s="337"/>
      <c r="C99" s="5"/>
      <c r="D99" s="5"/>
      <c r="E99" s="5"/>
      <c r="F99" s="5"/>
      <c r="G99" s="5"/>
      <c r="H99" s="5"/>
      <c r="I99" s="5"/>
      <c r="J99" s="5"/>
      <c r="K99" s="5"/>
      <c r="L99" s="5"/>
      <c r="M99" s="102" t="s">
        <v>863</v>
      </c>
      <c r="N99" s="102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4.25" customHeight="1" x14ac:dyDescent="0.2">
      <c r="A100" s="226" t="s">
        <v>864</v>
      </c>
      <c r="B100" s="324">
        <f>+PI()*B56^2/4</f>
        <v>297.301428914334</v>
      </c>
      <c r="C100" s="5" t="s">
        <v>688</v>
      </c>
      <c r="D100" s="5" t="s">
        <v>865</v>
      </c>
      <c r="E100" s="5"/>
      <c r="F100" s="5"/>
      <c r="G100" s="258"/>
      <c r="H100" s="5"/>
      <c r="I100" s="5"/>
      <c r="J100" s="5"/>
      <c r="K100" s="5"/>
      <c r="L100" s="5"/>
      <c r="M100" s="226" t="s">
        <v>864</v>
      </c>
      <c r="N100" s="324">
        <f>B100*10.764</f>
        <v>3200.1525808338911</v>
      </c>
      <c r="O100" s="64" t="s">
        <v>690</v>
      </c>
      <c r="P100" s="5" t="s">
        <v>865</v>
      </c>
      <c r="Q100" s="5"/>
      <c r="R100" s="5"/>
      <c r="S100" s="258"/>
      <c r="T100" s="5"/>
      <c r="U100" s="5"/>
      <c r="V100" s="5"/>
      <c r="W100" s="5"/>
      <c r="X100" s="5"/>
    </row>
    <row r="101" spans="1:24" x14ac:dyDescent="0.2">
      <c r="A101" s="5" t="s">
        <v>866</v>
      </c>
      <c r="B101" s="324"/>
      <c r="C101" s="5"/>
      <c r="D101" s="5"/>
      <c r="E101" s="5"/>
      <c r="F101" s="5"/>
      <c r="G101" s="258"/>
      <c r="H101" s="5"/>
      <c r="I101" s="5"/>
      <c r="J101" s="5"/>
      <c r="K101" s="5"/>
      <c r="L101" s="5"/>
      <c r="M101" s="5" t="s">
        <v>866</v>
      </c>
      <c r="N101" s="324"/>
      <c r="O101" s="5"/>
      <c r="P101" s="5"/>
      <c r="Q101" s="5"/>
      <c r="R101" s="5"/>
      <c r="S101" s="258"/>
      <c r="T101" s="5"/>
      <c r="U101" s="5"/>
      <c r="V101" s="5"/>
      <c r="W101" s="5"/>
      <c r="X101" s="5"/>
    </row>
    <row r="102" spans="1:24" ht="14.25" customHeight="1" x14ac:dyDescent="0.2">
      <c r="A102" s="226" t="s">
        <v>867</v>
      </c>
      <c r="B102" s="324">
        <f>+PI()*B55^2/4-B100</f>
        <v>57.555234050826471</v>
      </c>
      <c r="C102" s="5" t="s">
        <v>688</v>
      </c>
      <c r="D102" s="5" t="s">
        <v>868</v>
      </c>
      <c r="E102" s="5"/>
      <c r="F102" s="5"/>
      <c r="G102" s="5"/>
      <c r="H102" s="5"/>
      <c r="I102" s="5"/>
      <c r="J102" s="5"/>
      <c r="K102" s="5"/>
      <c r="L102" s="5"/>
      <c r="M102" s="226" t="s">
        <v>867</v>
      </c>
      <c r="N102" s="324">
        <f>B102*10.764</f>
        <v>619.52453932309606</v>
      </c>
      <c r="O102" s="64" t="s">
        <v>690</v>
      </c>
      <c r="P102" s="5" t="s">
        <v>868</v>
      </c>
      <c r="Q102" s="5"/>
      <c r="R102" s="5"/>
      <c r="S102" s="5"/>
      <c r="T102" s="5"/>
      <c r="U102" s="5"/>
      <c r="V102" s="5"/>
      <c r="W102" s="5"/>
      <c r="X102" s="5"/>
    </row>
    <row r="103" spans="1:24" x14ac:dyDescent="0.2">
      <c r="A103" s="5"/>
      <c r="B103" s="32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324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102" t="s">
        <v>733</v>
      </c>
      <c r="B104" s="328"/>
      <c r="C104" s="226"/>
      <c r="D104" s="326"/>
      <c r="E104" s="326"/>
      <c r="F104" s="326"/>
      <c r="G104" s="5"/>
      <c r="H104" s="5"/>
      <c r="I104" s="5"/>
      <c r="J104" s="5"/>
      <c r="K104" s="5"/>
      <c r="L104" s="5"/>
      <c r="M104" s="102" t="s">
        <v>733</v>
      </c>
      <c r="N104" s="328"/>
      <c r="O104" s="226"/>
      <c r="P104" s="326"/>
      <c r="Q104" s="326"/>
      <c r="R104" s="326"/>
      <c r="S104" s="5"/>
      <c r="T104" s="5"/>
      <c r="U104" s="5"/>
      <c r="V104" s="5"/>
      <c r="W104" s="5"/>
      <c r="X104" s="5"/>
    </row>
    <row r="105" spans="1:24" x14ac:dyDescent="0.2">
      <c r="A105" s="5" t="s">
        <v>869</v>
      </c>
      <c r="B105" s="32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 t="s">
        <v>869</v>
      </c>
      <c r="N105" s="324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4.25" customHeight="1" x14ac:dyDescent="0.2">
      <c r="A106" s="226" t="s">
        <v>870</v>
      </c>
      <c r="B106" s="324">
        <f>+((2*PI()*B23*B24)*(2*PI()*B29*B30))^(1/2)</f>
        <v>418.60111845965162</v>
      </c>
      <c r="C106" s="5" t="s">
        <v>688</v>
      </c>
      <c r="D106" s="5" t="s">
        <v>871</v>
      </c>
      <c r="E106" s="5"/>
      <c r="F106" s="5"/>
      <c r="G106" s="5"/>
      <c r="H106" s="5"/>
      <c r="I106" s="5"/>
      <c r="J106" s="5"/>
      <c r="K106" s="5"/>
      <c r="L106" s="5"/>
      <c r="M106" s="226" t="s">
        <v>870</v>
      </c>
      <c r="N106" s="324">
        <f>B106*10.764</f>
        <v>4505.8224390996893</v>
      </c>
      <c r="O106" s="64" t="s">
        <v>690</v>
      </c>
      <c r="P106" s="5" t="s">
        <v>871</v>
      </c>
      <c r="Q106" s="5"/>
      <c r="R106" s="5"/>
      <c r="S106" s="5"/>
      <c r="T106" s="5"/>
      <c r="U106" s="5"/>
      <c r="V106" s="5"/>
      <c r="W106" s="5"/>
      <c r="X106" s="5"/>
    </row>
    <row r="107" spans="1:24" x14ac:dyDescent="0.2">
      <c r="A107" s="5" t="s">
        <v>872</v>
      </c>
      <c r="B107" s="32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 t="s">
        <v>872</v>
      </c>
      <c r="N107" s="324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4.25" customHeight="1" x14ac:dyDescent="0.2">
      <c r="A108" s="226" t="s">
        <v>873</v>
      </c>
      <c r="B108" s="324">
        <f>+PI()*0.5*(B87+B83)*0.5*(B20+B28)</f>
        <v>557.04346398956932</v>
      </c>
      <c r="C108" s="5" t="s">
        <v>688</v>
      </c>
      <c r="D108" s="5" t="s">
        <v>874</v>
      </c>
      <c r="E108" s="5"/>
      <c r="F108" s="5"/>
      <c r="G108" s="5"/>
      <c r="H108" s="5"/>
      <c r="I108" s="5"/>
      <c r="J108" s="5"/>
      <c r="K108" s="5"/>
      <c r="L108" s="5"/>
      <c r="M108" s="226" t="s">
        <v>873</v>
      </c>
      <c r="N108" s="324">
        <f>B108*10.764</f>
        <v>5996.0158463837233</v>
      </c>
      <c r="O108" s="64" t="s">
        <v>690</v>
      </c>
      <c r="P108" s="5" t="s">
        <v>874</v>
      </c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102"/>
      <c r="B109" s="328"/>
      <c r="C109" s="226"/>
      <c r="D109" s="326"/>
      <c r="E109" s="326"/>
      <c r="F109" s="326"/>
      <c r="G109" s="5"/>
      <c r="H109" s="5"/>
      <c r="I109" s="5"/>
      <c r="J109" s="5"/>
      <c r="K109" s="5"/>
      <c r="L109" s="5"/>
      <c r="M109" s="102"/>
      <c r="N109" s="328"/>
      <c r="O109" s="226"/>
      <c r="P109" s="326"/>
      <c r="Q109" s="326"/>
      <c r="R109" s="326"/>
      <c r="S109" s="5"/>
      <c r="T109" s="5"/>
      <c r="U109" s="5"/>
      <c r="V109" s="5"/>
      <c r="W109" s="5"/>
      <c r="X109" s="5"/>
    </row>
    <row r="110" spans="1:24" ht="15.75" customHeight="1" x14ac:dyDescent="0.25">
      <c r="A110" s="102" t="s">
        <v>875</v>
      </c>
      <c r="B110" s="328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02" t="s">
        <v>875</v>
      </c>
      <c r="N110" s="328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4.25" customHeight="1" x14ac:dyDescent="0.2">
      <c r="A111" s="226" t="s">
        <v>876</v>
      </c>
      <c r="B111" s="324">
        <f>+PI()*((0.5*(B87+B83))^2-B55^2)/4</f>
        <v>25.571924777655688</v>
      </c>
      <c r="C111" s="5" t="s">
        <v>688</v>
      </c>
      <c r="D111" s="5" t="s">
        <v>877</v>
      </c>
      <c r="E111" s="5"/>
      <c r="F111" s="5"/>
      <c r="G111" s="5"/>
      <c r="H111" s="5"/>
      <c r="I111" s="5"/>
      <c r="J111" s="5"/>
      <c r="K111" s="5"/>
      <c r="L111" s="5"/>
      <c r="M111" s="226" t="s">
        <v>876</v>
      </c>
      <c r="N111" s="324">
        <f>B111*10.764</f>
        <v>275.2561983066858</v>
      </c>
      <c r="O111" s="64" t="s">
        <v>690</v>
      </c>
      <c r="P111" s="5" t="s">
        <v>877</v>
      </c>
      <c r="Q111" s="5"/>
      <c r="R111" s="5"/>
      <c r="S111" s="5"/>
      <c r="T111" s="5"/>
      <c r="U111" s="5"/>
      <c r="V111" s="5"/>
      <c r="W111" s="5"/>
      <c r="X111" s="5"/>
    </row>
    <row r="112" spans="1:24" x14ac:dyDescent="0.2">
      <c r="A112" s="5"/>
      <c r="B112" s="33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x14ac:dyDescent="0.2">
      <c r="A121" s="5"/>
      <c r="B121" s="5"/>
      <c r="C121" s="226"/>
      <c r="D121" s="326"/>
      <c r="E121" s="326"/>
      <c r="F121" s="32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x14ac:dyDescent="0.2">
      <c r="A122" s="5"/>
      <c r="B122" s="5"/>
      <c r="C122" s="226"/>
      <c r="D122" s="326"/>
      <c r="E122" s="326"/>
      <c r="F122" s="326"/>
      <c r="G122" s="5"/>
      <c r="H122" s="5"/>
      <c r="I122" s="5"/>
      <c r="J122" s="5"/>
      <c r="K122" s="5"/>
      <c r="L122" s="226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26"/>
      <c r="M123" s="326"/>
      <c r="N123" s="326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326"/>
      <c r="N124" s="326"/>
      <c r="O124" s="5"/>
      <c r="P124" s="5"/>
      <c r="Q124" s="5"/>
      <c r="R124" s="5"/>
      <c r="S124" s="5"/>
      <c r="T124" s="5"/>
      <c r="U124" s="5"/>
      <c r="V124" s="5"/>
      <c r="W124" s="5"/>
      <c r="X124" s="5"/>
    </row>
  </sheetData>
  <mergeCells count="45">
    <mergeCell ref="G61:H61"/>
    <mergeCell ref="A4:B4"/>
    <mergeCell ref="C59:F59"/>
    <mergeCell ref="A61:B61"/>
    <mergeCell ref="E61:F61"/>
    <mergeCell ref="A5:B5"/>
    <mergeCell ref="C1:F1"/>
    <mergeCell ref="C2:F2"/>
    <mergeCell ref="I1:L1"/>
    <mergeCell ref="I2:L2"/>
    <mergeCell ref="A62:B62"/>
    <mergeCell ref="G62:H62"/>
    <mergeCell ref="C58:F58"/>
    <mergeCell ref="I3:L3"/>
    <mergeCell ref="C60:F60"/>
    <mergeCell ref="E4:F4"/>
    <mergeCell ref="K4:L4"/>
    <mergeCell ref="C3:F3"/>
    <mergeCell ref="G4:H4"/>
    <mergeCell ref="G5:H5"/>
    <mergeCell ref="I58:L58"/>
    <mergeCell ref="I59:L59"/>
    <mergeCell ref="O1:R1"/>
    <mergeCell ref="U1:X1"/>
    <mergeCell ref="O2:R2"/>
    <mergeCell ref="U2:X2"/>
    <mergeCell ref="O3:R3"/>
    <mergeCell ref="U3:X3"/>
    <mergeCell ref="M4:N4"/>
    <mergeCell ref="Q4:R4"/>
    <mergeCell ref="S4:T4"/>
    <mergeCell ref="W4:X4"/>
    <mergeCell ref="M5:N5"/>
    <mergeCell ref="S5:T5"/>
    <mergeCell ref="O58:R58"/>
    <mergeCell ref="U58:X58"/>
    <mergeCell ref="O59:R59"/>
    <mergeCell ref="U59:X59"/>
    <mergeCell ref="O60:R60"/>
    <mergeCell ref="U60:X60"/>
    <mergeCell ref="M61:N61"/>
    <mergeCell ref="Q61:R61"/>
    <mergeCell ref="S61:T61"/>
    <mergeCell ref="M62:N62"/>
    <mergeCell ref="S62:T62"/>
  </mergeCells>
  <printOptions verticalCentered="1"/>
  <pageMargins left="0.78740157480314965" right="0.39370078740157483" top="0.51181102362204722" bottom="0.39370078740157483" header="0" footer="0"/>
  <pageSetup paperSize="9" scale="97" orientation="portrait"/>
  <rowBreaks count="1" manualBreakCount="1">
    <brk id="57" max="16383" man="1"/>
  </rowBreaks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8"/>
  <dimension ref="A1:N125"/>
  <sheetViews>
    <sheetView workbookViewId="0">
      <selection activeCell="B17" sqref="B17"/>
    </sheetView>
    <sheetView tabSelected="1" workbookViewId="1">
      <selection sqref="A1:AK5"/>
    </sheetView>
  </sheetViews>
  <sheetFormatPr defaultColWidth="11.42578125" defaultRowHeight="12.75" x14ac:dyDescent="0.2"/>
  <cols>
    <col min="1" max="1" width="14.85546875" customWidth="1"/>
    <col min="2" max="2" width="13" customWidth="1"/>
    <col min="3" max="3" width="18" customWidth="1"/>
    <col min="4" max="4" width="15.140625" customWidth="1"/>
    <col min="5" max="5" width="9.140625" customWidth="1"/>
    <col min="6" max="7" width="17.85546875" customWidth="1"/>
    <col min="8" max="8" width="10.42578125" customWidth="1"/>
    <col min="9" max="9" width="17.85546875" customWidth="1"/>
    <col min="10" max="10" width="17.42578125" customWidth="1"/>
    <col min="11" max="11" width="9.85546875" customWidth="1"/>
    <col min="12" max="12" width="14.140625" customWidth="1"/>
  </cols>
  <sheetData>
    <row r="1" spans="1:14" ht="17.25" customHeight="1" thickTop="1" thickBot="1" x14ac:dyDescent="0.3">
      <c r="A1" s="28"/>
      <c r="B1" s="4"/>
      <c r="C1" s="913" t="str">
        <f>'Front Page Thermal Calcs'!$D$1</f>
        <v>Thermal Calculation</v>
      </c>
      <c r="D1" s="842"/>
      <c r="E1" s="842"/>
      <c r="F1" s="843"/>
      <c r="G1" s="28"/>
      <c r="H1" s="4"/>
      <c r="I1" s="913" t="str">
        <f>'Front Page Thermal Calcs'!$D$1</f>
        <v>Thermal Calculation</v>
      </c>
      <c r="J1" s="842"/>
      <c r="K1" s="842"/>
      <c r="L1" s="843"/>
      <c r="M1" s="5"/>
      <c r="N1" s="5"/>
    </row>
    <row r="2" spans="1:14" ht="16.5" customHeight="1" thickBot="1" x14ac:dyDescent="0.3">
      <c r="A2" s="6"/>
      <c r="B2" s="5"/>
      <c r="C2" s="839"/>
      <c r="D2" s="831"/>
      <c r="E2" s="831"/>
      <c r="F2" s="832"/>
      <c r="G2" s="6"/>
      <c r="H2" s="5"/>
      <c r="I2" s="839"/>
      <c r="J2" s="831"/>
      <c r="K2" s="831"/>
      <c r="L2" s="832"/>
      <c r="M2" s="5"/>
      <c r="N2" s="5"/>
    </row>
    <row r="3" spans="1:14" ht="16.5" customHeight="1" thickBot="1" x14ac:dyDescent="0.3">
      <c r="A3" s="8"/>
      <c r="B3" s="9"/>
      <c r="C3" s="839"/>
      <c r="D3" s="831"/>
      <c r="E3" s="831"/>
      <c r="F3" s="832"/>
      <c r="G3" s="8"/>
      <c r="H3" s="9"/>
      <c r="I3" s="839"/>
      <c r="J3" s="831"/>
      <c r="K3" s="831"/>
      <c r="L3" s="832"/>
      <c r="M3" s="5"/>
      <c r="N3" s="5"/>
    </row>
    <row r="4" spans="1:14" ht="15.75" customHeight="1" thickBot="1" x14ac:dyDescent="0.3">
      <c r="A4" s="974"/>
      <c r="B4" s="848"/>
      <c r="C4" s="130" t="str">
        <f>'Front Page'!$D$4</f>
        <v>Doc Nº</v>
      </c>
      <c r="D4" s="13"/>
      <c r="E4" s="846"/>
      <c r="F4" s="832"/>
      <c r="G4" s="974"/>
      <c r="H4" s="848"/>
      <c r="I4" s="130" t="str">
        <f>'Front Page'!$D$4</f>
        <v>Doc Nº</v>
      </c>
      <c r="J4" s="13"/>
      <c r="K4" s="846"/>
      <c r="L4" s="832"/>
      <c r="M4" s="5"/>
      <c r="N4" s="5"/>
    </row>
    <row r="5" spans="1:14" ht="15.75" customHeight="1" thickBot="1" x14ac:dyDescent="0.3">
      <c r="A5" s="970"/>
      <c r="B5" s="851"/>
      <c r="C5" s="133" t="str">
        <f>'Front Page'!$D$5</f>
        <v>Project</v>
      </c>
      <c r="D5" s="62"/>
      <c r="E5" s="131" t="s">
        <v>5</v>
      </c>
      <c r="F5" s="32"/>
      <c r="G5" s="970"/>
      <c r="H5" s="851"/>
      <c r="I5" s="133" t="str">
        <f>'Front Page'!$D$5</f>
        <v>Project</v>
      </c>
      <c r="J5" s="62"/>
      <c r="K5" s="131" t="s">
        <v>5</v>
      </c>
      <c r="L5" s="32"/>
      <c r="M5" s="5"/>
      <c r="N5" s="5"/>
    </row>
    <row r="6" spans="1:14" ht="13.5" customHeight="1" thickTop="1" x14ac:dyDescent="0.2">
      <c r="A6" s="4"/>
      <c r="B6" s="5"/>
      <c r="C6" s="5"/>
      <c r="D6" s="5"/>
      <c r="E6" s="4"/>
      <c r="F6" s="4"/>
      <c r="G6" s="4"/>
      <c r="H6" s="4"/>
      <c r="I6" s="4"/>
      <c r="J6" s="4"/>
      <c r="K6" s="4"/>
      <c r="L6" s="4"/>
      <c r="M6" s="5"/>
      <c r="N6" s="5"/>
    </row>
    <row r="7" spans="1:14" ht="18" customHeight="1" x14ac:dyDescent="0.2">
      <c r="A7" s="975" t="s">
        <v>878</v>
      </c>
      <c r="B7" s="809"/>
      <c r="C7" s="809"/>
      <c r="D7" s="809"/>
      <c r="E7" s="809"/>
      <c r="F7" s="809"/>
      <c r="G7" s="5"/>
      <c r="H7" s="5"/>
      <c r="I7" s="5"/>
      <c r="J7" s="5"/>
      <c r="K7" s="5"/>
      <c r="L7" s="5"/>
      <c r="M7" s="5"/>
      <c r="N7" s="5"/>
    </row>
    <row r="8" spans="1:14" ht="15.75" customHeight="1" x14ac:dyDescent="0.25">
      <c r="A8" s="809"/>
      <c r="B8" s="809"/>
      <c r="C8" s="809"/>
      <c r="D8" s="809"/>
      <c r="E8" s="809"/>
      <c r="F8" s="809"/>
      <c r="G8" s="372" t="s">
        <v>685</v>
      </c>
      <c r="H8" s="373"/>
      <c r="I8" s="5"/>
      <c r="J8" s="5"/>
      <c r="K8" s="5"/>
      <c r="L8" s="5"/>
      <c r="M8" s="5"/>
      <c r="N8" s="5"/>
    </row>
    <row r="9" spans="1:14" ht="14.25" customHeight="1" x14ac:dyDescent="0.2">
      <c r="A9" s="90" t="s">
        <v>686</v>
      </c>
      <c r="B9" s="90"/>
      <c r="C9" s="5"/>
      <c r="D9" s="5"/>
      <c r="E9" s="5"/>
      <c r="F9" s="5"/>
      <c r="G9" s="226" t="s">
        <v>687</v>
      </c>
      <c r="H9" s="374">
        <f>+B43*B44</f>
        <v>0.1152</v>
      </c>
      <c r="I9" s="5" t="s">
        <v>688</v>
      </c>
      <c r="J9" s="5" t="s">
        <v>689</v>
      </c>
      <c r="K9" s="5"/>
      <c r="L9" s="5"/>
      <c r="M9" s="5"/>
      <c r="N9" s="5"/>
    </row>
    <row r="10" spans="1:14" x14ac:dyDescent="0.2">
      <c r="A10" s="226"/>
      <c r="B10" s="325" t="s">
        <v>879</v>
      </c>
      <c r="C10" s="5" t="s">
        <v>297</v>
      </c>
      <c r="D10" s="5"/>
      <c r="E10" s="5"/>
      <c r="F10" s="5"/>
      <c r="G10" s="5"/>
      <c r="H10" s="332"/>
      <c r="I10" s="226"/>
      <c r="J10" s="326"/>
      <c r="K10" s="326"/>
      <c r="L10" s="326"/>
      <c r="M10" s="5"/>
      <c r="N10" s="5"/>
    </row>
    <row r="11" spans="1:14" ht="15.75" customHeight="1" x14ac:dyDescent="0.25">
      <c r="A11" s="226" t="s">
        <v>691</v>
      </c>
      <c r="B11" s="327">
        <f>'Thermal calculation 1'!B11</f>
        <v>-196</v>
      </c>
      <c r="C11" s="5" t="s">
        <v>299</v>
      </c>
      <c r="D11" s="5"/>
      <c r="E11" s="5"/>
      <c r="F11" s="5"/>
      <c r="G11" s="372" t="s">
        <v>692</v>
      </c>
      <c r="H11" s="373"/>
      <c r="I11" s="226"/>
      <c r="J11" s="5"/>
      <c r="K11" s="5"/>
      <c r="L11" s="5"/>
      <c r="M11" s="5"/>
      <c r="N11" s="5"/>
    </row>
    <row r="12" spans="1:14" ht="14.25" customHeight="1" x14ac:dyDescent="0.2">
      <c r="A12" s="226" t="s">
        <v>702</v>
      </c>
      <c r="B12" s="327">
        <f>'Thermal calculation 1'!B12</f>
        <v>808</v>
      </c>
      <c r="C12" s="5" t="s">
        <v>300</v>
      </c>
      <c r="D12" s="5"/>
      <c r="E12" s="5"/>
      <c r="F12" s="5"/>
      <c r="G12" s="226" t="s">
        <v>696</v>
      </c>
      <c r="H12" s="374">
        <f>+PI()*B55*0.0005</f>
        <v>3.3388846722352317E-2</v>
      </c>
      <c r="I12" s="5" t="s">
        <v>688</v>
      </c>
      <c r="J12" s="5" t="s">
        <v>697</v>
      </c>
      <c r="K12" s="5"/>
      <c r="L12" s="5"/>
      <c r="M12" s="5"/>
      <c r="N12" s="5"/>
    </row>
    <row r="13" spans="1:14" x14ac:dyDescent="0.2">
      <c r="A13" s="226" t="s">
        <v>699</v>
      </c>
      <c r="B13" s="327">
        <f>'Thermal calculation 1'!B13</f>
        <v>199</v>
      </c>
      <c r="C13" s="117" t="s">
        <v>880</v>
      </c>
      <c r="D13" s="5"/>
      <c r="E13" s="5"/>
      <c r="F13" s="5"/>
      <c r="G13" s="5"/>
      <c r="H13" s="332"/>
      <c r="I13" s="5"/>
      <c r="J13" s="5"/>
      <c r="K13" s="5"/>
      <c r="L13" s="5"/>
      <c r="M13" s="5"/>
      <c r="N13" s="5"/>
    </row>
    <row r="14" spans="1:14" ht="15.75" customHeight="1" x14ac:dyDescent="0.25">
      <c r="A14" s="226"/>
      <c r="B14" s="5"/>
      <c r="C14" s="5"/>
      <c r="D14" s="5"/>
      <c r="E14" s="5"/>
      <c r="F14" s="5"/>
      <c r="G14" s="372" t="s">
        <v>704</v>
      </c>
      <c r="H14" s="373"/>
      <c r="I14" s="5"/>
      <c r="J14" s="5"/>
      <c r="K14" s="5"/>
      <c r="L14" s="5"/>
      <c r="M14" s="5"/>
      <c r="N14" s="5"/>
    </row>
    <row r="15" spans="1:14" ht="14.25" customHeight="1" x14ac:dyDescent="0.2">
      <c r="A15" s="90" t="s">
        <v>706</v>
      </c>
      <c r="B15" s="5"/>
      <c r="C15" s="5"/>
      <c r="D15" s="5"/>
      <c r="E15" s="5"/>
      <c r="F15" s="5"/>
      <c r="G15" s="226" t="s">
        <v>707</v>
      </c>
      <c r="H15" s="336">
        <v>0.02</v>
      </c>
      <c r="I15" s="5" t="s">
        <v>688</v>
      </c>
      <c r="J15" s="5"/>
      <c r="K15" s="5"/>
      <c r="L15" s="5"/>
      <c r="M15" s="5"/>
      <c r="N15" s="5"/>
    </row>
    <row r="16" spans="1:14" x14ac:dyDescent="0.2">
      <c r="A16" s="226" t="s">
        <v>709</v>
      </c>
      <c r="B16" s="327">
        <v>15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">
      <c r="A17" s="226"/>
      <c r="B17" s="25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5.75" customHeight="1" x14ac:dyDescent="0.25">
      <c r="A18" s="90" t="s">
        <v>710</v>
      </c>
      <c r="B18" s="258"/>
      <c r="C18" s="5"/>
      <c r="D18" s="5"/>
      <c r="E18" s="5"/>
      <c r="F18" s="5"/>
      <c r="G18" s="283" t="s">
        <v>711</v>
      </c>
      <c r="H18" s="283"/>
      <c r="I18" s="226"/>
      <c r="J18" s="226"/>
      <c r="K18" s="326"/>
      <c r="L18" s="326"/>
      <c r="M18" s="5"/>
      <c r="N18" s="5"/>
    </row>
    <row r="19" spans="1:14" x14ac:dyDescent="0.2">
      <c r="A19" s="226" t="s">
        <v>712</v>
      </c>
      <c r="B19" s="327">
        <f>'Main Dimensions Calcs'!D53/1000</f>
        <v>20.6</v>
      </c>
      <c r="C19" s="5" t="s">
        <v>713</v>
      </c>
      <c r="D19" s="5"/>
      <c r="E19" s="5"/>
      <c r="F19" s="5"/>
      <c r="G19" s="5"/>
      <c r="H19" s="5"/>
      <c r="I19" s="226"/>
      <c r="J19" s="226"/>
      <c r="K19" s="326"/>
      <c r="L19" s="326"/>
      <c r="M19" s="5"/>
      <c r="N19" s="5"/>
    </row>
    <row r="20" spans="1:14" ht="15.75" customHeight="1" x14ac:dyDescent="0.25">
      <c r="A20" s="226" t="s">
        <v>715</v>
      </c>
      <c r="B20" s="327">
        <f>'Main Dimensions Calcs'!D50/1000</f>
        <v>7.2</v>
      </c>
      <c r="C20" s="5" t="s">
        <v>716</v>
      </c>
      <c r="D20" s="5"/>
      <c r="E20" s="5"/>
      <c r="F20" s="5"/>
      <c r="G20" s="102" t="s">
        <v>717</v>
      </c>
      <c r="H20" s="102"/>
      <c r="I20" s="5"/>
      <c r="J20" s="5"/>
      <c r="K20" s="5"/>
      <c r="L20" s="5"/>
      <c r="M20" s="5"/>
      <c r="N20" s="5"/>
    </row>
    <row r="21" spans="1:14" x14ac:dyDescent="0.2">
      <c r="A21" s="226" t="s">
        <v>719</v>
      </c>
      <c r="B21" s="327">
        <f>'Main Dimensions Calcs'!D51/1000</f>
        <v>4.3499999999999996</v>
      </c>
      <c r="C21" s="5" t="s">
        <v>720</v>
      </c>
      <c r="D21" s="5"/>
      <c r="E21" s="5"/>
      <c r="F21" s="5"/>
      <c r="G21" s="226" t="s">
        <v>721</v>
      </c>
      <c r="H21" s="339">
        <f>+B74*(B101/(B51+B52)+B103/B51)*B92</f>
        <v>2932.3163026886318</v>
      </c>
      <c r="I21" s="5" t="s">
        <v>197</v>
      </c>
      <c r="J21" s="64" t="s">
        <v>722</v>
      </c>
      <c r="K21" s="326"/>
      <c r="L21" s="5"/>
      <c r="M21" s="5"/>
      <c r="N21" s="5"/>
    </row>
    <row r="22" spans="1:14" x14ac:dyDescent="0.2">
      <c r="A22" s="226" t="s">
        <v>725</v>
      </c>
      <c r="B22" s="340">
        <f>'Main Dimensions Calcs'!I18/1000</f>
        <v>8.0000000000000002E-3</v>
      </c>
      <c r="C22" s="5" t="s">
        <v>726</v>
      </c>
      <c r="D22" s="5"/>
      <c r="E22" s="5"/>
      <c r="F22" s="5"/>
      <c r="G22" s="5"/>
      <c r="H22" s="265"/>
      <c r="I22" s="226"/>
      <c r="J22" s="226"/>
      <c r="K22" s="5"/>
      <c r="L22" s="5"/>
      <c r="M22" s="5"/>
      <c r="N22" s="5"/>
    </row>
    <row r="23" spans="1:14" x14ac:dyDescent="0.2">
      <c r="A23" s="226" t="s">
        <v>728</v>
      </c>
      <c r="B23" s="327">
        <f>'Main Dimensions Calcs'!D54/1000</f>
        <v>18</v>
      </c>
      <c r="C23" s="5" t="s">
        <v>729</v>
      </c>
      <c r="D23" s="5"/>
      <c r="E23" s="5"/>
      <c r="F23" s="5"/>
      <c r="G23" s="5"/>
      <c r="H23" s="265"/>
      <c r="I23" s="226"/>
      <c r="J23" s="226"/>
      <c r="K23" s="326"/>
      <c r="L23" s="5"/>
      <c r="M23" s="5"/>
      <c r="N23" s="5"/>
    </row>
    <row r="24" spans="1:14" ht="15.75" customHeight="1" x14ac:dyDescent="0.25">
      <c r="A24" s="226" t="s">
        <v>731</v>
      </c>
      <c r="B24" s="331">
        <f>'Main Dimensions Calcs'!D52/1000</f>
        <v>3.2382250389731251</v>
      </c>
      <c r="C24" s="5" t="s">
        <v>732</v>
      </c>
      <c r="D24" s="5"/>
      <c r="E24" s="5"/>
      <c r="F24" s="5"/>
      <c r="G24" s="372" t="s">
        <v>733</v>
      </c>
      <c r="H24" s="375"/>
      <c r="I24" s="5"/>
      <c r="J24" s="5"/>
      <c r="K24" s="5"/>
      <c r="L24" s="5"/>
      <c r="M24" s="5"/>
      <c r="N24" s="5"/>
    </row>
    <row r="25" spans="1:14" x14ac:dyDescent="0.2">
      <c r="A25" s="226"/>
      <c r="B25" s="258"/>
      <c r="C25" s="5"/>
      <c r="D25" s="5"/>
      <c r="E25" s="5"/>
      <c r="F25" s="5"/>
      <c r="G25" s="226" t="s">
        <v>737</v>
      </c>
      <c r="H25" s="339">
        <f>+B70*(B107/B48+B109/(0.5*(B88-B84))+B112/(B51+B52))*B92</f>
        <v>4723.35771396173</v>
      </c>
      <c r="I25" s="5" t="s">
        <v>197</v>
      </c>
      <c r="J25" s="5"/>
      <c r="K25" s="5"/>
      <c r="L25" s="5"/>
      <c r="M25" s="5"/>
      <c r="N25" s="5"/>
    </row>
    <row r="26" spans="1:14" x14ac:dyDescent="0.2">
      <c r="A26" s="90" t="s">
        <v>739</v>
      </c>
      <c r="B26" s="258"/>
      <c r="C26" s="5"/>
      <c r="D26" s="5"/>
      <c r="E26" s="5"/>
      <c r="F26" s="5"/>
      <c r="G26" s="5"/>
      <c r="H26" s="346" t="s">
        <v>740</v>
      </c>
      <c r="I26" s="226"/>
      <c r="J26" s="226"/>
      <c r="K26" s="326"/>
      <c r="L26" s="5"/>
      <c r="M26" s="5"/>
      <c r="N26" s="5"/>
    </row>
    <row r="27" spans="1:14" x14ac:dyDescent="0.2">
      <c r="A27" s="226" t="s">
        <v>741</v>
      </c>
      <c r="B27" s="331">
        <f>'Main Dimensions Calcs'!D32/1000</f>
        <v>23.4</v>
      </c>
      <c r="C27" s="5" t="s">
        <v>742</v>
      </c>
      <c r="D27" s="5"/>
      <c r="E27" s="5"/>
      <c r="F27" s="5"/>
      <c r="G27" s="5"/>
      <c r="H27" s="265"/>
      <c r="I27" s="226"/>
      <c r="J27" s="226"/>
      <c r="K27" s="326"/>
      <c r="L27" s="5"/>
      <c r="M27" s="5"/>
      <c r="N27" s="5"/>
    </row>
    <row r="28" spans="1:14" ht="15.75" customHeight="1" x14ac:dyDescent="0.25">
      <c r="A28" s="226" t="s">
        <v>744</v>
      </c>
      <c r="B28" s="331">
        <f>'Main Dimensions Calcs'!D30/1000</f>
        <v>8.9130432931562744</v>
      </c>
      <c r="C28" s="5" t="s">
        <v>716</v>
      </c>
      <c r="D28" s="5"/>
      <c r="E28" s="5"/>
      <c r="F28" s="5"/>
      <c r="G28" s="372" t="s">
        <v>685</v>
      </c>
      <c r="H28" s="375"/>
      <c r="I28" s="5"/>
      <c r="J28" s="5"/>
      <c r="K28" s="5"/>
      <c r="L28" s="5"/>
      <c r="M28" s="5"/>
      <c r="N28" s="5"/>
    </row>
    <row r="29" spans="1:14" x14ac:dyDescent="0.2">
      <c r="A29" s="226" t="s">
        <v>745</v>
      </c>
      <c r="B29" s="331">
        <f>'Main Dimensions Calcs'!D33/1000</f>
        <v>19.399999999999999</v>
      </c>
      <c r="C29" s="5" t="s">
        <v>746</v>
      </c>
      <c r="D29" s="5"/>
      <c r="E29" s="5"/>
      <c r="F29" s="5"/>
      <c r="G29" s="226" t="s">
        <v>747</v>
      </c>
      <c r="H29" s="339">
        <f>+B77*H9*B92/(B51+B52)</f>
        <v>425.37599999999998</v>
      </c>
      <c r="I29" s="5" t="s">
        <v>197</v>
      </c>
      <c r="J29" s="64" t="s">
        <v>748</v>
      </c>
      <c r="K29" s="326"/>
      <c r="L29" s="5"/>
      <c r="M29" s="5"/>
      <c r="N29" s="5"/>
    </row>
    <row r="30" spans="1:14" x14ac:dyDescent="0.2">
      <c r="A30" s="226" t="s">
        <v>750</v>
      </c>
      <c r="B30" s="331">
        <f>'Main Dimensions Calcs'!D31/1000</f>
        <v>3.9251817458168516</v>
      </c>
      <c r="C30" s="5" t="s">
        <v>732</v>
      </c>
      <c r="D30" s="5"/>
      <c r="E30" s="5"/>
      <c r="F30" s="5"/>
      <c r="G30" s="5"/>
      <c r="H30" s="265"/>
      <c r="I30" s="226"/>
      <c r="J30" s="226"/>
      <c r="K30" s="5"/>
      <c r="L30" s="5"/>
      <c r="M30" s="5"/>
      <c r="N30" s="5"/>
    </row>
    <row r="31" spans="1:14" x14ac:dyDescent="0.2">
      <c r="A31" s="226"/>
      <c r="B31" s="258"/>
      <c r="C31" s="118"/>
      <c r="D31" s="5"/>
      <c r="E31" s="5"/>
      <c r="F31" s="5"/>
      <c r="G31" s="5"/>
      <c r="H31" s="265"/>
      <c r="I31" s="226"/>
      <c r="J31" s="226"/>
      <c r="K31" s="326"/>
      <c r="L31" s="5"/>
      <c r="M31" s="5"/>
      <c r="N31" s="5"/>
    </row>
    <row r="32" spans="1:14" ht="15.75" customHeight="1" x14ac:dyDescent="0.25">
      <c r="A32" s="90" t="s">
        <v>386</v>
      </c>
      <c r="B32" s="258"/>
      <c r="C32" s="5"/>
      <c r="D32" s="5"/>
      <c r="E32" s="5"/>
      <c r="F32" s="5"/>
      <c r="G32" s="372" t="s">
        <v>751</v>
      </c>
      <c r="H32" s="375"/>
      <c r="I32" s="5"/>
      <c r="J32" s="5"/>
      <c r="K32" s="5"/>
      <c r="L32" s="5"/>
      <c r="M32" s="5"/>
      <c r="N32" s="5"/>
    </row>
    <row r="33" spans="1:14" x14ac:dyDescent="0.2">
      <c r="A33" s="226" t="s">
        <v>752</v>
      </c>
      <c r="B33" s="327">
        <f>'Main Dimensions Calcs'!D68</f>
        <v>6</v>
      </c>
      <c r="C33" s="5" t="s">
        <v>346</v>
      </c>
      <c r="D33" s="5"/>
      <c r="E33" s="5"/>
      <c r="F33" s="5"/>
      <c r="G33" s="226" t="s">
        <v>753</v>
      </c>
      <c r="H33" s="339">
        <f>+B77*H12*B92/(B51+B52)</f>
        <v>123.28831652228591</v>
      </c>
      <c r="I33" s="5" t="s">
        <v>197</v>
      </c>
      <c r="J33" s="64" t="s">
        <v>754</v>
      </c>
      <c r="K33" s="5"/>
      <c r="L33" s="5"/>
      <c r="M33" s="5"/>
      <c r="N33" s="5"/>
    </row>
    <row r="34" spans="1:14" x14ac:dyDescent="0.2">
      <c r="A34" s="226" t="s">
        <v>755</v>
      </c>
      <c r="B34" s="327">
        <f>'Main Dimensions Calcs'!D69/1000</f>
        <v>20.856000000000002</v>
      </c>
      <c r="C34" s="5" t="s">
        <v>756</v>
      </c>
      <c r="D34" s="5"/>
      <c r="E34" s="5"/>
      <c r="F34" s="5"/>
      <c r="G34" s="5"/>
      <c r="H34" s="265"/>
      <c r="I34" s="5"/>
      <c r="J34" s="5"/>
      <c r="K34" s="326"/>
      <c r="L34" s="5"/>
      <c r="M34" s="5"/>
      <c r="N34" s="5"/>
    </row>
    <row r="35" spans="1:14" x14ac:dyDescent="0.2">
      <c r="A35" s="226" t="s">
        <v>758</v>
      </c>
      <c r="B35" s="327">
        <f>'Main Dimensions Calcs'!D73/1000</f>
        <v>0.01</v>
      </c>
      <c r="C35" s="5" t="s">
        <v>759</v>
      </c>
      <c r="D35" s="5"/>
      <c r="E35" s="5"/>
      <c r="F35" s="5"/>
      <c r="G35" s="5"/>
      <c r="H35" s="265"/>
      <c r="I35" s="226"/>
      <c r="J35" s="226"/>
      <c r="K35" s="326"/>
      <c r="L35" s="5"/>
      <c r="M35" s="326">
        <f>K46*1.2</f>
        <v>3.6677643647952604E-3</v>
      </c>
      <c r="N35" s="5"/>
    </row>
    <row r="36" spans="1:14" ht="15.75" customHeight="1" x14ac:dyDescent="0.25">
      <c r="A36" s="5"/>
      <c r="B36" s="5"/>
      <c r="C36" s="5"/>
      <c r="D36" s="5"/>
      <c r="E36" s="5"/>
      <c r="F36" s="5"/>
      <c r="G36" s="372" t="s">
        <v>761</v>
      </c>
      <c r="H36" s="375"/>
      <c r="I36" s="5"/>
      <c r="J36" s="5"/>
      <c r="K36" s="5"/>
      <c r="L36" s="5"/>
      <c r="M36" s="5"/>
      <c r="N36" s="5"/>
    </row>
    <row r="37" spans="1:14" x14ac:dyDescent="0.2">
      <c r="A37" s="90" t="s">
        <v>344</v>
      </c>
      <c r="B37" s="258"/>
      <c r="C37" s="5"/>
      <c r="D37" s="5"/>
      <c r="E37" s="5"/>
      <c r="F37" s="5"/>
      <c r="G37" s="226" t="s">
        <v>762</v>
      </c>
      <c r="H37" s="339">
        <f>+B77*H15*B92/(B47)</f>
        <v>42.442528735632202</v>
      </c>
      <c r="I37" s="5" t="s">
        <v>197</v>
      </c>
      <c r="J37" s="5" t="s">
        <v>763</v>
      </c>
      <c r="K37" s="5"/>
      <c r="L37" s="5"/>
      <c r="M37" s="5"/>
      <c r="N37" s="5"/>
    </row>
    <row r="38" spans="1:14" x14ac:dyDescent="0.2">
      <c r="A38" s="226" t="s">
        <v>764</v>
      </c>
      <c r="B38" s="327">
        <f>'Main Dimensions Calcs'!D43</f>
        <v>2</v>
      </c>
      <c r="C38" s="5" t="s">
        <v>346</v>
      </c>
      <c r="D38" s="5"/>
      <c r="E38" s="5"/>
      <c r="F38" s="5"/>
      <c r="G38" s="5"/>
      <c r="H38" s="265"/>
      <c r="I38" s="226"/>
      <c r="J38" s="226"/>
      <c r="K38" s="326"/>
      <c r="L38" s="5"/>
      <c r="M38" s="5"/>
      <c r="N38" s="5"/>
    </row>
    <row r="39" spans="1:14" x14ac:dyDescent="0.2">
      <c r="A39" s="226" t="s">
        <v>765</v>
      </c>
      <c r="B39" s="331">
        <f>('Main Dimensions Calcs'!D32-2*'Main Dimensions Calcs'!D44)/1000</f>
        <v>23.12</v>
      </c>
      <c r="C39" s="5" t="s">
        <v>766</v>
      </c>
      <c r="D39" s="5"/>
      <c r="E39" s="5"/>
      <c r="F39" s="5"/>
      <c r="G39" s="5"/>
      <c r="H39" s="265"/>
      <c r="I39" s="226"/>
      <c r="J39" s="226"/>
      <c r="K39" s="326"/>
      <c r="L39" s="5"/>
      <c r="M39" s="5"/>
      <c r="N39" s="5"/>
    </row>
    <row r="40" spans="1:14" ht="15.75" customHeight="1" x14ac:dyDescent="0.25">
      <c r="A40" s="226" t="s">
        <v>768</v>
      </c>
      <c r="B40" s="327">
        <f>'Main Dimensions Calcs'!D45/1000</f>
        <v>1.4E-2</v>
      </c>
      <c r="C40" s="5" t="s">
        <v>769</v>
      </c>
      <c r="D40" s="5"/>
      <c r="E40" s="5"/>
      <c r="F40" s="5"/>
      <c r="G40" s="372" t="s">
        <v>770</v>
      </c>
      <c r="H40" s="375"/>
      <c r="I40" s="5"/>
      <c r="J40" s="5"/>
      <c r="K40" s="5"/>
      <c r="L40" s="5"/>
      <c r="M40" s="5"/>
      <c r="N40" s="5"/>
    </row>
    <row r="41" spans="1:14" ht="11.25" customHeight="1" x14ac:dyDescent="0.2">
      <c r="A41" s="5"/>
      <c r="B41" s="5"/>
      <c r="C41" s="5"/>
      <c r="D41" s="5"/>
      <c r="E41" s="5"/>
      <c r="F41" s="5"/>
      <c r="G41" s="226" t="s">
        <v>772</v>
      </c>
      <c r="H41" s="339">
        <f>+H25+H21+H37+H29+H33</f>
        <v>8246.7808619082807</v>
      </c>
      <c r="I41" s="5" t="s">
        <v>197</v>
      </c>
      <c r="J41" s="5" t="s">
        <v>773</v>
      </c>
      <c r="K41" s="326"/>
      <c r="L41" s="326"/>
      <c r="M41" s="5"/>
      <c r="N41" s="5"/>
    </row>
    <row r="42" spans="1:14" x14ac:dyDescent="0.2">
      <c r="A42" s="121" t="s">
        <v>381</v>
      </c>
      <c r="B42" s="258"/>
      <c r="C42" s="117"/>
      <c r="D42" s="5"/>
      <c r="E42" s="5"/>
      <c r="F42" s="5"/>
      <c r="G42" s="273"/>
      <c r="H42" s="5"/>
      <c r="I42" s="5"/>
      <c r="J42" s="5"/>
      <c r="K42" s="5"/>
      <c r="L42" s="5"/>
      <c r="M42" s="5"/>
      <c r="N42" s="5"/>
    </row>
    <row r="43" spans="1:14" x14ac:dyDescent="0.2">
      <c r="A43" s="226" t="s">
        <v>774</v>
      </c>
      <c r="B43" s="327">
        <f>'Main Dimensions Calcs'!D61</f>
        <v>60</v>
      </c>
      <c r="C43" s="117" t="s">
        <v>775</v>
      </c>
      <c r="D43" s="5"/>
      <c r="E43" s="5"/>
      <c r="F43" s="5"/>
      <c r="G43" s="273"/>
      <c r="H43" s="5"/>
      <c r="I43" s="5"/>
      <c r="J43" s="5"/>
      <c r="K43" s="5"/>
      <c r="L43" s="5"/>
      <c r="M43" s="5"/>
      <c r="N43" s="5"/>
    </row>
    <row r="44" spans="1:14" ht="15.75" customHeight="1" x14ac:dyDescent="0.25">
      <c r="A44" s="226" t="s">
        <v>776</v>
      </c>
      <c r="B44" s="327">
        <f>'Main Dimensions Calcs'!F65/1000000</f>
        <v>1.92E-3</v>
      </c>
      <c r="C44" s="117" t="s">
        <v>777</v>
      </c>
      <c r="D44" s="5"/>
      <c r="E44" s="5"/>
      <c r="F44" s="5"/>
      <c r="G44" s="283" t="s">
        <v>778</v>
      </c>
      <c r="H44" s="283"/>
      <c r="I44" s="226"/>
      <c r="J44" s="226"/>
      <c r="K44" s="5"/>
      <c r="L44" s="5"/>
      <c r="M44" s="5"/>
      <c r="N44" s="5"/>
    </row>
    <row r="45" spans="1:14" x14ac:dyDescent="0.2">
      <c r="A45" s="5"/>
      <c r="B45" s="5"/>
      <c r="C45" s="5"/>
      <c r="D45" s="5"/>
      <c r="E45" s="5"/>
      <c r="F45" s="5"/>
      <c r="G45" s="5"/>
      <c r="H45" s="5"/>
      <c r="I45" s="226"/>
      <c r="J45" s="226"/>
      <c r="K45" s="348"/>
      <c r="L45" s="348"/>
      <c r="M45" s="5"/>
      <c r="N45" s="5"/>
    </row>
    <row r="46" spans="1:14" x14ac:dyDescent="0.2">
      <c r="A46" s="121" t="s">
        <v>780</v>
      </c>
      <c r="B46" s="5"/>
      <c r="C46" s="5"/>
      <c r="D46" s="5"/>
      <c r="E46" s="5"/>
      <c r="F46" s="5"/>
      <c r="G46" s="5" t="s">
        <v>781</v>
      </c>
      <c r="H46" s="5"/>
      <c r="I46" s="226" t="s">
        <v>782</v>
      </c>
      <c r="J46" s="226"/>
      <c r="K46" s="376">
        <f>+H41*86400/(B13*B80*1000)</f>
        <v>3.0564703039960505E-3</v>
      </c>
      <c r="L46" s="350"/>
      <c r="M46" s="5"/>
      <c r="N46" s="5"/>
    </row>
    <row r="47" spans="1:14" x14ac:dyDescent="0.2">
      <c r="A47" s="226" t="s">
        <v>783</v>
      </c>
      <c r="B47" s="377">
        <f>(B27-(B19+2*B22))/2</f>
        <v>1.3919999999999995</v>
      </c>
      <c r="C47" s="117" t="s">
        <v>784</v>
      </c>
      <c r="D47" s="5"/>
      <c r="E47" s="5"/>
      <c r="F47" s="5"/>
      <c r="G47" s="5"/>
      <c r="H47" s="5"/>
      <c r="I47" s="5"/>
      <c r="J47" s="5"/>
      <c r="K47" s="5"/>
      <c r="L47" s="326"/>
      <c r="M47" s="5"/>
      <c r="N47" s="5"/>
    </row>
    <row r="48" spans="1:14" x14ac:dyDescent="0.2">
      <c r="A48" s="226" t="s">
        <v>786</v>
      </c>
      <c r="B48" s="273">
        <f>B29-B23</f>
        <v>1.3999999999999986</v>
      </c>
      <c r="C48" s="117" t="s">
        <v>787</v>
      </c>
      <c r="D48" s="117"/>
      <c r="E48" s="117"/>
      <c r="F48" s="117"/>
      <c r="G48" s="5"/>
      <c r="H48" s="5"/>
      <c r="I48" s="5"/>
      <c r="J48" s="5"/>
      <c r="K48" s="326"/>
      <c r="L48" s="326"/>
      <c r="M48" s="5"/>
      <c r="N48" s="5"/>
    </row>
    <row r="49" spans="1:14" ht="15.75" customHeight="1" x14ac:dyDescent="0.25">
      <c r="A49" s="5"/>
      <c r="B49" s="5"/>
      <c r="C49" s="5"/>
      <c r="D49" s="117"/>
      <c r="E49" s="117"/>
      <c r="F49" s="117"/>
      <c r="G49" s="283" t="s">
        <v>789</v>
      </c>
      <c r="H49" s="283"/>
      <c r="I49" s="5"/>
      <c r="J49" s="5"/>
      <c r="K49" s="5"/>
      <c r="L49" s="5"/>
      <c r="M49" s="5"/>
      <c r="N49" s="5"/>
    </row>
    <row r="50" spans="1:14" x14ac:dyDescent="0.2">
      <c r="A50" s="90" t="s">
        <v>790</v>
      </c>
      <c r="B50" s="258"/>
      <c r="C50" s="5"/>
      <c r="D50" s="5"/>
      <c r="E50" s="5"/>
      <c r="F50" s="5"/>
      <c r="G50" s="5"/>
      <c r="H50" s="5"/>
      <c r="I50" s="5"/>
      <c r="J50" s="5"/>
      <c r="K50" s="378">
        <v>2.5999999999999999E-3</v>
      </c>
      <c r="L50" s="354"/>
      <c r="M50" s="5"/>
      <c r="N50" s="5"/>
    </row>
    <row r="51" spans="1:14" ht="15.75" customHeight="1" x14ac:dyDescent="0.25">
      <c r="A51" s="226" t="s">
        <v>791</v>
      </c>
      <c r="B51" s="327">
        <f>'Main Dimensions Calcs'!E80/1000</f>
        <v>0.65</v>
      </c>
      <c r="C51" s="5" t="s">
        <v>792</v>
      </c>
      <c r="D51" s="5"/>
      <c r="E51" s="5"/>
      <c r="F51" s="5"/>
      <c r="G51" s="379" t="s">
        <v>793</v>
      </c>
      <c r="H51" s="379"/>
      <c r="I51" s="5"/>
      <c r="J51" s="5"/>
      <c r="K51" s="380">
        <f>K50/K46</f>
        <v>0.85065442860699214</v>
      </c>
      <c r="L51" s="265"/>
      <c r="M51" s="5"/>
      <c r="N51" s="5"/>
    </row>
    <row r="52" spans="1:14" x14ac:dyDescent="0.2">
      <c r="A52" s="226" t="s">
        <v>795</v>
      </c>
      <c r="B52" s="223">
        <f>'Main Dimensions Calcs'!E85/1000</f>
        <v>0.15</v>
      </c>
      <c r="C52" s="5" t="s">
        <v>796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90" t="s">
        <v>797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A55" s="226" t="s">
        <v>798</v>
      </c>
      <c r="B55" s="223">
        <f>B19+2*'Main Dimensions Calcs'!E87/1000+'Main Dimensions Calcs'!H7*2/1000</f>
        <v>21.256</v>
      </c>
      <c r="C55" s="5" t="s">
        <v>799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">
      <c r="A56" s="226" t="s">
        <v>801</v>
      </c>
      <c r="B56" s="273">
        <f>B55-2*B57</f>
        <v>19.456</v>
      </c>
      <c r="C56" s="117" t="s">
        <v>802</v>
      </c>
      <c r="D56" s="117"/>
      <c r="E56" s="117"/>
      <c r="F56" s="117"/>
      <c r="G56" s="5"/>
      <c r="H56" s="5"/>
      <c r="I56" s="5"/>
      <c r="J56" s="5"/>
      <c r="K56" s="5"/>
      <c r="L56" s="5"/>
      <c r="M56" s="5"/>
      <c r="N56" s="5"/>
    </row>
    <row r="57" spans="1:14" x14ac:dyDescent="0.2">
      <c r="A57" s="226" t="s">
        <v>804</v>
      </c>
      <c r="B57" s="327">
        <f>'Main Dimensions Calcs'!E86</f>
        <v>0.9</v>
      </c>
      <c r="C57" s="117" t="s">
        <v>805</v>
      </c>
      <c r="D57" s="117"/>
      <c r="E57" s="117"/>
      <c r="F57" s="117"/>
      <c r="G57" s="5"/>
      <c r="H57" s="5"/>
      <c r="I57" s="5"/>
      <c r="J57" s="5"/>
      <c r="K57" s="5"/>
      <c r="L57" s="5"/>
      <c r="M57" s="5"/>
      <c r="N57" s="5"/>
    </row>
    <row r="58" spans="1:14" ht="13.5" customHeight="1" thickBo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7.25" customHeight="1" thickTop="1" thickBot="1" x14ac:dyDescent="0.3">
      <c r="A59" s="28"/>
      <c r="B59" s="4"/>
      <c r="C59" s="913" t="str">
        <f>'Front Page Thermal Calcs'!$D$1</f>
        <v>Thermal Calculation</v>
      </c>
      <c r="D59" s="842"/>
      <c r="E59" s="842"/>
      <c r="F59" s="843"/>
      <c r="G59" s="6"/>
      <c r="H59" s="5"/>
      <c r="I59" s="935" t="str">
        <f>'Front Page'!$A$13</f>
        <v>Mechanical  Calculations</v>
      </c>
      <c r="J59" s="828"/>
      <c r="K59" s="828"/>
      <c r="L59" s="857"/>
      <c r="M59" s="5"/>
      <c r="N59" s="5"/>
    </row>
    <row r="60" spans="1:14" ht="16.5" customHeight="1" thickBot="1" x14ac:dyDescent="0.3">
      <c r="A60" s="6"/>
      <c r="B60" s="5"/>
      <c r="C60" s="839"/>
      <c r="D60" s="831"/>
      <c r="E60" s="831"/>
      <c r="F60" s="832"/>
      <c r="G60" s="6"/>
      <c r="H60" s="5"/>
      <c r="I60" s="935"/>
      <c r="J60" s="828"/>
      <c r="K60" s="828"/>
      <c r="L60" s="857"/>
      <c r="M60" s="5"/>
      <c r="N60" s="5"/>
    </row>
    <row r="61" spans="1:14" ht="16.5" customHeight="1" thickBot="1" x14ac:dyDescent="0.3">
      <c r="A61" s="8"/>
      <c r="B61" s="9"/>
      <c r="C61" s="839"/>
      <c r="D61" s="831"/>
      <c r="E61" s="831"/>
      <c r="F61" s="832"/>
      <c r="G61" s="8"/>
      <c r="H61" s="9"/>
      <c r="I61" s="227"/>
      <c r="J61" s="228"/>
      <c r="K61" s="228"/>
      <c r="L61" s="229"/>
      <c r="M61" s="5"/>
      <c r="N61" s="5"/>
    </row>
    <row r="62" spans="1:14" ht="15.75" customHeight="1" thickBot="1" x14ac:dyDescent="0.3">
      <c r="A62" s="974"/>
      <c r="B62" s="848"/>
      <c r="C62" s="130" t="str">
        <f>'Front Page'!$D$4</f>
        <v>Doc Nº</v>
      </c>
      <c r="D62" s="13"/>
      <c r="E62" s="846"/>
      <c r="F62" s="832"/>
      <c r="G62" s="873"/>
      <c r="H62" s="865"/>
      <c r="I62" s="230" t="str">
        <f>'Front Page'!$D$4</f>
        <v>Doc Nº</v>
      </c>
      <c r="J62" s="231"/>
      <c r="K62" s="232"/>
      <c r="L62" s="233"/>
      <c r="M62" s="5"/>
      <c r="N62" s="5"/>
    </row>
    <row r="63" spans="1:14" ht="15.75" customHeight="1" thickBot="1" x14ac:dyDescent="0.3">
      <c r="A63" s="970"/>
      <c r="B63" s="851"/>
      <c r="C63" s="133" t="str">
        <f>'Front Page'!$D$5</f>
        <v>Project</v>
      </c>
      <c r="D63" s="360"/>
      <c r="E63" s="131" t="s">
        <v>5</v>
      </c>
      <c r="F63" s="32"/>
      <c r="G63" s="860"/>
      <c r="H63" s="861"/>
      <c r="I63" s="237" t="str">
        <f>'Front Page'!$D$5</f>
        <v>Project</v>
      </c>
      <c r="J63" s="238"/>
      <c r="K63" s="31" t="s">
        <v>5</v>
      </c>
      <c r="L63" s="32"/>
      <c r="M63" s="5"/>
      <c r="N63" s="5"/>
    </row>
    <row r="64" spans="1:14" ht="13.5" customHeight="1" thickTop="1" x14ac:dyDescent="0.2">
      <c r="A64" s="4"/>
      <c r="B64" s="4"/>
      <c r="C64" s="4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.75" customHeight="1" x14ac:dyDescent="0.25">
      <c r="A65" s="362" t="s">
        <v>807</v>
      </c>
      <c r="B65" s="363"/>
      <c r="C65" s="124"/>
      <c r="D65" s="124"/>
      <c r="E65" s="124"/>
      <c r="F65" s="124"/>
      <c r="G65" s="379" t="s">
        <v>808</v>
      </c>
      <c r="H65" s="379"/>
      <c r="I65" s="5"/>
      <c r="J65" s="5"/>
      <c r="K65" s="5"/>
      <c r="L65" s="5"/>
      <c r="M65" s="5"/>
      <c r="N65" s="5"/>
    </row>
    <row r="66" spans="1:14" ht="14.25" customHeight="1" x14ac:dyDescent="0.2">
      <c r="A66" s="226" t="s">
        <v>809</v>
      </c>
      <c r="B66" s="327">
        <f>'Main Dimensions Calcs'!D20</f>
        <v>91.3</v>
      </c>
      <c r="C66" s="117" t="s">
        <v>810</v>
      </c>
      <c r="D66" s="117"/>
      <c r="E66" s="117"/>
      <c r="F66" s="117"/>
      <c r="G66" s="5"/>
      <c r="H66" s="5"/>
      <c r="I66" s="5"/>
      <c r="J66" s="5"/>
      <c r="K66" s="5"/>
      <c r="L66" s="5"/>
      <c r="M66" s="5"/>
      <c r="N66" s="5"/>
    </row>
    <row r="67" spans="1:14" ht="15.75" customHeight="1" x14ac:dyDescent="0.25">
      <c r="A67" s="226" t="s">
        <v>812</v>
      </c>
      <c r="B67" s="223">
        <v>120</v>
      </c>
      <c r="C67" s="117" t="s">
        <v>813</v>
      </c>
      <c r="D67" s="117"/>
      <c r="E67" s="117"/>
      <c r="F67" s="117"/>
      <c r="G67" s="102" t="s">
        <v>814</v>
      </c>
      <c r="H67" s="102"/>
      <c r="I67" s="5"/>
      <c r="J67" s="5"/>
      <c r="K67" s="5"/>
      <c r="L67" s="5"/>
      <c r="M67" s="5"/>
      <c r="N67" s="5"/>
    </row>
    <row r="68" spans="1:14" x14ac:dyDescent="0.2">
      <c r="A68" s="5"/>
      <c r="B68" s="5"/>
      <c r="C68" s="5"/>
      <c r="D68" s="5"/>
      <c r="E68" s="5"/>
      <c r="F68" s="5"/>
      <c r="G68" s="5" t="s">
        <v>402</v>
      </c>
      <c r="H68" s="5"/>
      <c r="I68" s="5"/>
      <c r="J68" s="5"/>
      <c r="K68" s="5">
        <f>'Main Dimensions Calcs'!E83</f>
        <v>100</v>
      </c>
      <c r="L68" s="5" t="s">
        <v>247</v>
      </c>
      <c r="M68" s="5"/>
      <c r="N68" s="5"/>
    </row>
    <row r="69" spans="1:14" ht="15.75" customHeight="1" x14ac:dyDescent="0.25">
      <c r="A69" s="372" t="s">
        <v>816</v>
      </c>
      <c r="B69" s="5"/>
      <c r="C69" s="326"/>
      <c r="D69" s="5"/>
      <c r="E69" s="5"/>
      <c r="F69" s="5"/>
      <c r="G69" s="5" t="s">
        <v>405</v>
      </c>
      <c r="H69" s="5"/>
      <c r="I69" s="5"/>
      <c r="J69" s="5"/>
      <c r="K69" s="5">
        <f>'Main Dimensions Calcs'!E84</f>
        <v>100</v>
      </c>
      <c r="L69" s="5" t="s">
        <v>247</v>
      </c>
      <c r="M69" s="5"/>
      <c r="N69" s="5"/>
    </row>
    <row r="70" spans="1:14" x14ac:dyDescent="0.2">
      <c r="A70" s="5" t="s">
        <v>817</v>
      </c>
      <c r="B70" s="381">
        <v>3.0599999999999999E-2</v>
      </c>
      <c r="C70" s="5" t="s">
        <v>818</v>
      </c>
      <c r="D70" s="5"/>
      <c r="E70" s="5"/>
      <c r="F70" s="5"/>
      <c r="G70" s="5" t="s">
        <v>406</v>
      </c>
      <c r="H70" s="5"/>
      <c r="I70" s="5"/>
      <c r="J70" s="5"/>
      <c r="K70" s="5">
        <f>'Main Dimensions Calcs'!E85</f>
        <v>150</v>
      </c>
      <c r="L70" s="5" t="s">
        <v>247</v>
      </c>
      <c r="M70" s="5"/>
      <c r="N70" s="5"/>
    </row>
    <row r="71" spans="1:14" x14ac:dyDescent="0.2">
      <c r="A71" s="5" t="s">
        <v>881</v>
      </c>
      <c r="B71" s="332"/>
      <c r="C71" s="5"/>
      <c r="D71" s="5"/>
      <c r="E71" s="5"/>
      <c r="F71" s="5"/>
      <c r="G71" s="5" t="s">
        <v>820</v>
      </c>
      <c r="H71" s="5"/>
      <c r="I71" s="5"/>
      <c r="J71" s="5"/>
      <c r="K71" s="306">
        <f>PI()*B27^2/4*K68*2.5</f>
        <v>107513.15458747667</v>
      </c>
      <c r="L71" s="5" t="s">
        <v>447</v>
      </c>
      <c r="M71" s="5"/>
      <c r="N71" s="5"/>
    </row>
    <row r="72" spans="1:14" x14ac:dyDescent="0.2">
      <c r="A72" s="5"/>
      <c r="B72" s="332"/>
      <c r="C72" s="5"/>
      <c r="D72" s="5"/>
      <c r="E72" s="5"/>
      <c r="F72" s="5"/>
      <c r="G72" s="5" t="s">
        <v>822</v>
      </c>
      <c r="H72" s="5"/>
      <c r="I72" s="5"/>
      <c r="J72" s="5"/>
      <c r="K72" s="306">
        <f>PI()*B55^2/4*K69*2.5</f>
        <v>88714.165741290126</v>
      </c>
      <c r="L72" s="5" t="s">
        <v>447</v>
      </c>
      <c r="M72" s="5"/>
      <c r="N72" s="5"/>
    </row>
    <row r="73" spans="1:14" ht="15.75" customHeight="1" x14ac:dyDescent="0.25">
      <c r="A73" s="372" t="s">
        <v>823</v>
      </c>
      <c r="B73" s="332"/>
      <c r="C73" s="326"/>
      <c r="D73" s="5"/>
      <c r="E73" s="5"/>
      <c r="F73" s="5"/>
      <c r="G73" s="5" t="s">
        <v>824</v>
      </c>
      <c r="H73" s="5"/>
      <c r="I73" s="5"/>
      <c r="J73" s="5"/>
      <c r="K73" s="306">
        <f>PI()*(B55^2/4-B56^2/4)*K70*2.5</f>
        <v>21583.212769059923</v>
      </c>
      <c r="L73" s="5" t="s">
        <v>447</v>
      </c>
      <c r="M73" s="5"/>
      <c r="N73" s="5"/>
    </row>
    <row r="74" spans="1:14" x14ac:dyDescent="0.2">
      <c r="A74" s="5" t="s">
        <v>825</v>
      </c>
      <c r="B74" s="382">
        <v>3.0200000000000001E-2</v>
      </c>
      <c r="C74" s="5" t="s">
        <v>818</v>
      </c>
      <c r="D74" s="5"/>
      <c r="E74" s="5"/>
      <c r="F74" s="5"/>
      <c r="G74" s="5" t="s">
        <v>827</v>
      </c>
      <c r="H74" s="5"/>
      <c r="I74" s="5"/>
      <c r="J74" s="5"/>
      <c r="K74" s="306">
        <f>(PI()*B55^2/4*B51+PI()*B56^2/4*(B52))*B67</f>
        <v>33030.245431740535</v>
      </c>
      <c r="L74" s="5" t="s">
        <v>447</v>
      </c>
      <c r="M74" s="5"/>
      <c r="N74" s="5"/>
    </row>
    <row r="75" spans="1:14" x14ac:dyDescent="0.2">
      <c r="A75" s="5"/>
      <c r="B75" s="332"/>
      <c r="C75" s="5"/>
      <c r="D75" s="5"/>
      <c r="E75" s="5"/>
      <c r="F75" s="5"/>
      <c r="G75" s="5" t="s">
        <v>831</v>
      </c>
      <c r="H75" s="5"/>
      <c r="I75" s="5"/>
      <c r="J75" s="5"/>
      <c r="K75" s="306">
        <f>SUM(K71:K74)</f>
        <v>250840.77852956727</v>
      </c>
      <c r="L75" s="5" t="s">
        <v>447</v>
      </c>
      <c r="M75" s="5"/>
      <c r="N75" s="5"/>
    </row>
    <row r="76" spans="1:14" ht="15.75" customHeight="1" x14ac:dyDescent="0.25">
      <c r="A76" s="372" t="s">
        <v>832</v>
      </c>
      <c r="B76" s="332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5.75" customHeight="1" x14ac:dyDescent="0.25">
      <c r="A77" s="5" t="s">
        <v>833</v>
      </c>
      <c r="B77" s="374">
        <v>14</v>
      </c>
      <c r="C77" s="5" t="s">
        <v>818</v>
      </c>
      <c r="D77" s="5"/>
      <c r="E77" s="5"/>
      <c r="F77" s="5"/>
      <c r="G77" s="102" t="s">
        <v>834</v>
      </c>
      <c r="H77" s="102"/>
      <c r="I77" s="5"/>
      <c r="J77" s="5"/>
      <c r="K77" s="5"/>
      <c r="L77" s="5"/>
      <c r="M77" s="5"/>
      <c r="N77" s="5"/>
    </row>
    <row r="78" spans="1:14" x14ac:dyDescent="0.2">
      <c r="A78" s="5"/>
      <c r="B78" s="332"/>
      <c r="C78" s="5"/>
      <c r="D78" s="5"/>
      <c r="E78" s="5"/>
      <c r="F78" s="5"/>
      <c r="G78" s="5" t="s">
        <v>835</v>
      </c>
      <c r="H78" s="5"/>
      <c r="I78" s="5"/>
      <c r="J78" s="5"/>
      <c r="K78" s="306">
        <f>PI()/4*(B27^2-B55^2)*K68/1000*2500</f>
        <v>18798.988846186563</v>
      </c>
      <c r="L78" s="5" t="s">
        <v>447</v>
      </c>
      <c r="M78" s="5"/>
      <c r="N78" s="5"/>
    </row>
    <row r="79" spans="1:14" ht="15.75" customHeight="1" x14ac:dyDescent="0.25">
      <c r="A79" s="372" t="s">
        <v>836</v>
      </c>
      <c r="B79" s="332"/>
      <c r="C79" s="5"/>
      <c r="D79" s="5"/>
      <c r="E79" s="5"/>
      <c r="F79" s="5"/>
      <c r="G79" s="5" t="s">
        <v>837</v>
      </c>
      <c r="H79" s="5"/>
      <c r="I79" s="5"/>
      <c r="J79" s="5"/>
      <c r="K79" s="306">
        <f>PI()/4*(B27^2-B19^2)*B28*B66</f>
        <v>78740.357588565123</v>
      </c>
      <c r="L79" s="5" t="s">
        <v>447</v>
      </c>
      <c r="M79" s="5"/>
      <c r="N79" s="5"/>
    </row>
    <row r="80" spans="1:14" ht="14.25" customHeight="1" x14ac:dyDescent="0.2">
      <c r="A80" s="5" t="s">
        <v>838</v>
      </c>
      <c r="B80" s="383">
        <f>(PI()*B19^2*B21/4)*B12</f>
        <v>1171453.1913240603</v>
      </c>
      <c r="C80" s="5" t="s">
        <v>839</v>
      </c>
      <c r="D80" s="5" t="s">
        <v>840</v>
      </c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5.75" customHeight="1" x14ac:dyDescent="0.25">
      <c r="A81" s="5"/>
      <c r="B81" s="332"/>
      <c r="C81" s="5"/>
      <c r="D81" s="5"/>
      <c r="E81" s="5"/>
      <c r="F81" s="5"/>
      <c r="G81" s="102" t="s">
        <v>841</v>
      </c>
      <c r="H81" s="102"/>
      <c r="I81" s="5"/>
      <c r="J81" s="5"/>
      <c r="K81" s="5"/>
      <c r="L81" s="5"/>
      <c r="M81" s="5"/>
      <c r="N81" s="5"/>
    </row>
    <row r="82" spans="1:14" x14ac:dyDescent="0.2">
      <c r="A82" s="5"/>
      <c r="B82" s="332"/>
      <c r="C82" s="326"/>
      <c r="D82" s="5"/>
      <c r="E82" s="5"/>
      <c r="F82" s="5"/>
      <c r="G82" s="5" t="s">
        <v>841</v>
      </c>
      <c r="H82" s="5"/>
      <c r="I82" s="5"/>
      <c r="J82" s="5"/>
      <c r="K82" s="306">
        <f>PI()*B19^2/4*K85*B66</f>
        <v>42601.32778964415</v>
      </c>
      <c r="L82" s="5" t="s">
        <v>447</v>
      </c>
      <c r="M82" s="5"/>
      <c r="N82" s="5"/>
    </row>
    <row r="83" spans="1:14" ht="15.75" customHeight="1" x14ac:dyDescent="0.25">
      <c r="A83" s="372" t="s">
        <v>843</v>
      </c>
      <c r="B83" s="332"/>
      <c r="C83" s="32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5" t="s">
        <v>845</v>
      </c>
      <c r="B84" s="374">
        <f>+((B20-B33*B35)*(B19+2*B22)+B33*B35*B34)/B20</f>
        <v>20.617999999999999</v>
      </c>
      <c r="C84" s="5" t="s">
        <v>408</v>
      </c>
      <c r="D84" s="5" t="s">
        <v>846</v>
      </c>
      <c r="E84" s="5"/>
      <c r="F84" s="5"/>
      <c r="G84" s="369"/>
      <c r="H84" s="369"/>
      <c r="I84" s="5"/>
      <c r="J84" s="5"/>
      <c r="K84" s="370"/>
      <c r="L84" s="5"/>
      <c r="M84" s="5"/>
      <c r="N84" s="5"/>
    </row>
    <row r="85" spans="1:14" x14ac:dyDescent="0.2">
      <c r="A85" s="5"/>
      <c r="B85" s="332"/>
      <c r="C85" s="326"/>
      <c r="D85" s="5"/>
      <c r="E85" s="5"/>
      <c r="F85" s="5"/>
      <c r="G85" s="369" t="s">
        <v>842</v>
      </c>
      <c r="H85" s="369"/>
      <c r="I85" s="5"/>
      <c r="J85" s="5"/>
      <c r="K85" s="370">
        <f>B48</f>
        <v>1.3999999999999986</v>
      </c>
      <c r="L85" s="5"/>
      <c r="M85" s="5"/>
      <c r="N85" s="5"/>
    </row>
    <row r="86" spans="1:14" x14ac:dyDescent="0.2">
      <c r="A86" s="5"/>
      <c r="B86" s="332"/>
      <c r="C86" s="32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5.75" customHeight="1" x14ac:dyDescent="0.25">
      <c r="A87" s="372" t="s">
        <v>851</v>
      </c>
      <c r="B87" s="332"/>
      <c r="C87" s="32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5" t="s">
        <v>852</v>
      </c>
      <c r="B88" s="374">
        <f>+((B28-B38*B40)*B27+B38*B40*B39)/B28</f>
        <v>23.39912039022563</v>
      </c>
      <c r="C88" s="5" t="s">
        <v>408</v>
      </c>
      <c r="D88" s="5" t="s">
        <v>853</v>
      </c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5"/>
      <c r="B89" s="5"/>
      <c r="C89" s="326"/>
      <c r="D89" s="5"/>
      <c r="E89" s="5"/>
      <c r="F89" s="5"/>
      <c r="G89" s="5" t="s">
        <v>847</v>
      </c>
      <c r="H89" s="5"/>
      <c r="I89" s="5"/>
      <c r="J89" s="5"/>
      <c r="K89" s="5">
        <f>(PI()*B55^2/4*B51+PI()*B56^2/4*(B52))</f>
        <v>275.25204526450443</v>
      </c>
      <c r="L89" s="5"/>
      <c r="M89" s="5"/>
      <c r="N89" s="5"/>
    </row>
    <row r="90" spans="1:14" x14ac:dyDescent="0.2">
      <c r="A90" s="5"/>
      <c r="B90" s="5"/>
      <c r="C90" s="326"/>
      <c r="D90" s="5"/>
      <c r="E90" s="5"/>
      <c r="F90" s="5"/>
      <c r="G90" s="5" t="s">
        <v>849</v>
      </c>
      <c r="H90" s="5"/>
      <c r="I90" s="5"/>
      <c r="J90" s="5"/>
      <c r="K90" s="5">
        <f>PI()/4*(B27^2-B19^2)*B28</f>
        <v>862.435460991951</v>
      </c>
      <c r="L90" s="5"/>
      <c r="M90" s="5"/>
      <c r="N90" s="5"/>
    </row>
    <row r="91" spans="1:14" ht="15.75" customHeight="1" x14ac:dyDescent="0.25">
      <c r="A91" s="372" t="s">
        <v>854</v>
      </c>
      <c r="B91" s="5"/>
      <c r="C91" s="326"/>
      <c r="D91" s="5"/>
      <c r="E91" s="5"/>
      <c r="F91" s="5"/>
      <c r="G91" s="5" t="s">
        <v>850</v>
      </c>
      <c r="H91" s="5"/>
      <c r="I91" s="5"/>
      <c r="J91" s="5"/>
      <c r="K91" s="5">
        <f>PI()*B19^2/4*K85</f>
        <v>466.60819046707724</v>
      </c>
      <c r="L91" s="5"/>
      <c r="M91" s="5"/>
      <c r="N91" s="5"/>
    </row>
    <row r="92" spans="1:14" x14ac:dyDescent="0.2">
      <c r="A92" s="5" t="s">
        <v>855</v>
      </c>
      <c r="B92" s="326">
        <f>+B16-B11</f>
        <v>211</v>
      </c>
      <c r="C92" s="5" t="s">
        <v>856</v>
      </c>
      <c r="D92" s="5" t="s">
        <v>857</v>
      </c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5"/>
      <c r="B93" s="5"/>
      <c r="C93" s="32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5"/>
      <c r="B94" s="5"/>
      <c r="C94" s="32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5.75" customHeight="1" x14ac:dyDescent="0.25">
      <c r="A95" s="372" t="s">
        <v>859</v>
      </c>
      <c r="B95" s="5"/>
      <c r="C95" s="32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5" t="s">
        <v>860</v>
      </c>
      <c r="B96" s="326">
        <f>(B11+B16)/2</f>
        <v>-90.5</v>
      </c>
      <c r="C96" s="5" t="s">
        <v>856</v>
      </c>
      <c r="D96" s="5" t="s">
        <v>861</v>
      </c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5.75" customHeight="1" x14ac:dyDescent="0.25">
      <c r="A98" s="283" t="s">
        <v>862</v>
      </c>
      <c r="B98" s="283"/>
      <c r="C98" s="226"/>
      <c r="D98" s="258"/>
      <c r="E98" s="258"/>
      <c r="F98" s="258"/>
      <c r="G98" s="5"/>
      <c r="H98" s="5"/>
      <c r="I98" s="5"/>
      <c r="J98" s="5"/>
      <c r="K98" s="5"/>
      <c r="L98" s="226"/>
      <c r="M98" s="5"/>
      <c r="N98" s="5"/>
    </row>
    <row r="99" spans="1:14" x14ac:dyDescent="0.2">
      <c r="A99" s="5"/>
      <c r="B99" s="5"/>
      <c r="C99" s="226"/>
      <c r="D99" s="258"/>
      <c r="E99" s="258"/>
      <c r="F99" s="258"/>
      <c r="G99" s="5"/>
      <c r="H99" s="5"/>
      <c r="I99" s="5"/>
      <c r="J99" s="5"/>
      <c r="K99" s="5"/>
      <c r="L99" s="5"/>
      <c r="M99" s="326"/>
      <c r="N99" s="326"/>
    </row>
    <row r="100" spans="1:14" ht="15.75" customHeight="1" x14ac:dyDescent="0.25">
      <c r="A100" s="372" t="s">
        <v>863</v>
      </c>
      <c r="B100" s="372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4.25" customHeight="1" x14ac:dyDescent="0.2">
      <c r="A101" s="226" t="s">
        <v>864</v>
      </c>
      <c r="B101" s="374">
        <f>+PI()*B56^2/4</f>
        <v>297.301428914334</v>
      </c>
      <c r="C101" s="5" t="s">
        <v>688</v>
      </c>
      <c r="D101" s="5" t="s">
        <v>865</v>
      </c>
      <c r="E101" s="5"/>
      <c r="F101" s="5"/>
      <c r="G101" s="258"/>
      <c r="H101" s="5"/>
      <c r="I101" s="5"/>
      <c r="J101" s="5"/>
      <c r="K101" s="5"/>
      <c r="L101" s="5"/>
      <c r="M101" s="5"/>
      <c r="N101" s="5"/>
    </row>
    <row r="102" spans="1:14" x14ac:dyDescent="0.2">
      <c r="A102" s="5" t="s">
        <v>866</v>
      </c>
      <c r="B102" s="332"/>
      <c r="C102" s="5"/>
      <c r="D102" s="5"/>
      <c r="E102" s="5"/>
      <c r="F102" s="5"/>
      <c r="G102" s="258"/>
      <c r="H102" s="5"/>
      <c r="I102" s="5"/>
      <c r="J102" s="5"/>
      <c r="K102" s="5"/>
      <c r="L102" s="5"/>
      <c r="M102" s="5"/>
      <c r="N102" s="5"/>
    </row>
    <row r="103" spans="1:14" ht="14.25" customHeight="1" x14ac:dyDescent="0.2">
      <c r="A103" s="226" t="s">
        <v>867</v>
      </c>
      <c r="B103" s="374">
        <f>+PI()*B55^2/4-B101</f>
        <v>57.555234050826471</v>
      </c>
      <c r="C103" s="5" t="s">
        <v>688</v>
      </c>
      <c r="D103" s="5" t="s">
        <v>868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5"/>
      <c r="B104" s="332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5.75" customHeight="1" x14ac:dyDescent="0.25">
      <c r="A105" s="372" t="s">
        <v>733</v>
      </c>
      <c r="B105" s="373"/>
      <c r="C105" s="226"/>
      <c r="D105" s="326"/>
      <c r="E105" s="326"/>
      <c r="F105" s="326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5" t="s">
        <v>869</v>
      </c>
      <c r="B106" s="33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4.25" customHeight="1" x14ac:dyDescent="0.2">
      <c r="A107" s="226" t="s">
        <v>870</v>
      </c>
      <c r="B107" s="374">
        <f>+((2*PI()*B23*B24)*(2*PI()*B29*B30))^(1/2)</f>
        <v>418.60111845965162</v>
      </c>
      <c r="C107" s="5" t="s">
        <v>688</v>
      </c>
      <c r="D107" s="5" t="s">
        <v>871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5" t="s">
        <v>872</v>
      </c>
      <c r="B108" s="33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4.25" customHeight="1" x14ac:dyDescent="0.2">
      <c r="A109" s="226" t="s">
        <v>873</v>
      </c>
      <c r="B109" s="374">
        <f>+PI()*0.5*(B88+B84)*0.5*(B20+B28)</f>
        <v>557.04346398956932</v>
      </c>
      <c r="C109" s="5" t="s">
        <v>688</v>
      </c>
      <c r="D109" s="5" t="s">
        <v>874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5.75" customHeight="1" x14ac:dyDescent="0.25">
      <c r="A110" s="372"/>
      <c r="B110" s="373"/>
      <c r="C110" s="226"/>
      <c r="D110" s="326"/>
      <c r="E110" s="326"/>
      <c r="F110" s="326"/>
      <c r="G110" s="5"/>
      <c r="H110" s="5"/>
      <c r="I110" s="5"/>
      <c r="J110" s="5"/>
      <c r="K110" s="5"/>
      <c r="L110" s="5"/>
      <c r="M110" s="5"/>
      <c r="N110" s="5"/>
    </row>
    <row r="111" spans="1:14" ht="15.75" customHeight="1" x14ac:dyDescent="0.25">
      <c r="A111" s="372" t="s">
        <v>875</v>
      </c>
      <c r="B111" s="373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4.25" customHeight="1" x14ac:dyDescent="0.2">
      <c r="A112" s="226" t="s">
        <v>876</v>
      </c>
      <c r="B112" s="374">
        <f>+PI()*((0.5*(B88+B84))^2-B55^2)/4</f>
        <v>25.571924777655688</v>
      </c>
      <c r="C112" s="5" t="s">
        <v>688</v>
      </c>
      <c r="D112" s="5" t="s">
        <v>877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5"/>
      <c r="B113" s="33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5"/>
      <c r="B122" s="5"/>
      <c r="C122" s="226"/>
      <c r="D122" s="326"/>
      <c r="E122" s="326"/>
      <c r="F122" s="326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5"/>
      <c r="B123" s="5"/>
      <c r="C123" s="226"/>
      <c r="D123" s="326"/>
      <c r="E123" s="326"/>
      <c r="F123" s="326"/>
      <c r="G123" s="5"/>
      <c r="H123" s="5"/>
      <c r="I123" s="5"/>
      <c r="J123" s="5"/>
      <c r="K123" s="5"/>
      <c r="L123" s="226"/>
      <c r="M123" s="5"/>
      <c r="N123" s="5"/>
    </row>
    <row r="124" spans="1:14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26"/>
      <c r="M124" s="326"/>
      <c r="N124" s="326"/>
    </row>
    <row r="125" spans="1:14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326"/>
      <c r="N125" s="326"/>
    </row>
  </sheetData>
  <mergeCells count="23">
    <mergeCell ref="C1:F1"/>
    <mergeCell ref="C2:F2"/>
    <mergeCell ref="I1:L1"/>
    <mergeCell ref="I2:L2"/>
    <mergeCell ref="G63:H63"/>
    <mergeCell ref="C59:F59"/>
    <mergeCell ref="I3:L3"/>
    <mergeCell ref="C61:F61"/>
    <mergeCell ref="E4:F4"/>
    <mergeCell ref="K4:L4"/>
    <mergeCell ref="C3:F3"/>
    <mergeCell ref="G4:H4"/>
    <mergeCell ref="G5:H5"/>
    <mergeCell ref="I59:L59"/>
    <mergeCell ref="I60:L60"/>
    <mergeCell ref="G62:H62"/>
    <mergeCell ref="A63:B63"/>
    <mergeCell ref="A4:B4"/>
    <mergeCell ref="C60:F60"/>
    <mergeCell ref="A62:B62"/>
    <mergeCell ref="E62:F62"/>
    <mergeCell ref="A5:B5"/>
    <mergeCell ref="A7:F8"/>
  </mergeCells>
  <printOptions verticalCentered="1"/>
  <pageMargins left="0.78740157480314965" right="0.39370078740157483" top="0.51181102362204722" bottom="0.39370078740157483" header="0" footer="0"/>
  <pageSetup paperSize="9" scale="98" orientation="portrait"/>
  <headerFooter alignWithMargins="0">
    <oddFooter>&amp;L&amp;D&amp;R&amp;P/&amp;N</oddFooter>
  </headerFooter>
  <rowBreaks count="1" manualBreakCount="1">
    <brk id="5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tabColor rgb="FFFF0000"/>
    <pageSetUpPr fitToPage="1"/>
  </sheetPr>
  <dimension ref="A1:X177"/>
  <sheetViews>
    <sheetView topLeftCell="A64" workbookViewId="0">
      <selection activeCell="H88" sqref="H88"/>
    </sheetView>
    <sheetView tabSelected="1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10" customWidth="1"/>
    <col min="3" max="3" width="9.140625" customWidth="1"/>
    <col min="4" max="4" width="8.140625" customWidth="1"/>
    <col min="5" max="5" width="10.42578125" customWidth="1"/>
    <col min="6" max="6" width="10" customWidth="1"/>
    <col min="7" max="7" width="7.85546875" customWidth="1"/>
    <col min="8" max="8" width="25.85546875" customWidth="1"/>
    <col min="10" max="10" width="11.85546875" customWidth="1"/>
    <col min="11" max="11" width="12.140625" bestFit="1" customWidth="1"/>
    <col min="13" max="13" width="12.140625" bestFit="1" customWidth="1"/>
    <col min="15" max="15" width="12.85546875" customWidth="1"/>
    <col min="18" max="18" width="9.85546875" customWidth="1"/>
  </cols>
  <sheetData>
    <row r="1" spans="1:24" ht="17.25" customHeight="1" thickTop="1" thickBot="1" x14ac:dyDescent="0.3">
      <c r="A1" s="988"/>
      <c r="B1" s="823"/>
      <c r="C1" s="871"/>
      <c r="D1" s="934" t="str">
        <f>'Front Page'!$A$13</f>
        <v>Mechanical  Calculations</v>
      </c>
      <c r="E1" s="842"/>
      <c r="F1" s="842"/>
      <c r="G1" s="842"/>
      <c r="H1" s="859"/>
      <c r="I1" s="988"/>
      <c r="J1" s="823"/>
      <c r="K1" s="871"/>
      <c r="L1" s="934" t="str">
        <f>'Front Page'!$A$13</f>
        <v>Mechanical  Calculations</v>
      </c>
      <c r="M1" s="842"/>
      <c r="N1" s="842"/>
      <c r="O1" s="842"/>
      <c r="P1" s="859"/>
      <c r="Q1" s="5"/>
      <c r="R1" s="5"/>
      <c r="S1" s="5"/>
      <c r="T1" s="5"/>
      <c r="U1" s="5"/>
      <c r="V1" s="5"/>
      <c r="W1" s="5"/>
      <c r="X1" s="5"/>
    </row>
    <row r="2" spans="1:24" ht="16.5" customHeight="1" thickBot="1" x14ac:dyDescent="0.3">
      <c r="A2" s="825"/>
      <c r="B2" s="809"/>
      <c r="C2" s="989"/>
      <c r="D2" s="984"/>
      <c r="E2" s="831"/>
      <c r="F2" s="831"/>
      <c r="G2" s="831"/>
      <c r="H2" s="854"/>
      <c r="I2" s="825"/>
      <c r="J2" s="809"/>
      <c r="K2" s="989"/>
      <c r="L2" s="984"/>
      <c r="M2" s="831"/>
      <c r="N2" s="831"/>
      <c r="O2" s="831"/>
      <c r="P2" s="854"/>
      <c r="Q2" s="5"/>
      <c r="R2" s="5"/>
      <c r="S2" s="5"/>
      <c r="T2" s="5"/>
      <c r="U2" s="5"/>
      <c r="V2" s="5"/>
      <c r="W2" s="5"/>
      <c r="X2" s="5"/>
    </row>
    <row r="3" spans="1:24" ht="16.5" customHeight="1" thickBot="1" x14ac:dyDescent="0.3">
      <c r="A3" s="827"/>
      <c r="B3" s="828"/>
      <c r="C3" s="857"/>
      <c r="D3" s="985" t="s">
        <v>882</v>
      </c>
      <c r="E3" s="834"/>
      <c r="F3" s="834"/>
      <c r="G3" s="834"/>
      <c r="H3" s="986"/>
      <c r="I3" s="827"/>
      <c r="J3" s="828"/>
      <c r="K3" s="857"/>
      <c r="L3" s="985" t="s">
        <v>882</v>
      </c>
      <c r="M3" s="834"/>
      <c r="N3" s="834"/>
      <c r="O3" s="834"/>
      <c r="P3" s="986"/>
      <c r="Q3" s="5"/>
      <c r="R3" s="5"/>
      <c r="S3" s="5"/>
      <c r="T3" s="5"/>
      <c r="U3" s="5"/>
      <c r="V3" s="5"/>
      <c r="W3" s="5"/>
      <c r="X3" s="5"/>
    </row>
    <row r="4" spans="1:24" ht="16.5" customHeight="1" thickTop="1" thickBot="1" x14ac:dyDescent="0.3">
      <c r="A4" s="830"/>
      <c r="B4" s="831"/>
      <c r="C4" s="832"/>
      <c r="D4" s="385" t="str">
        <f>'Front Page'!$D$4</f>
        <v>Doc Nº</v>
      </c>
      <c r="E4" s="980"/>
      <c r="F4" s="843"/>
      <c r="G4" s="990"/>
      <c r="H4" s="829"/>
      <c r="I4" s="830"/>
      <c r="J4" s="831"/>
      <c r="K4" s="832"/>
      <c r="L4" s="385" t="str">
        <f>'Front Page'!$D$4</f>
        <v>Doc Nº</v>
      </c>
      <c r="M4" s="980"/>
      <c r="N4" s="843"/>
      <c r="O4" s="990"/>
      <c r="P4" s="829"/>
      <c r="Q4" s="5"/>
      <c r="R4" s="5"/>
      <c r="S4" s="5"/>
      <c r="T4" s="5"/>
      <c r="U4" s="5"/>
      <c r="V4" s="5"/>
      <c r="W4" s="5"/>
      <c r="X4" s="5"/>
    </row>
    <row r="5" spans="1:24" ht="15.75" customHeight="1" thickBot="1" x14ac:dyDescent="0.3">
      <c r="A5" s="987"/>
      <c r="B5" s="834"/>
      <c r="C5" s="835"/>
      <c r="D5" s="386" t="str">
        <f>'Front Page'!$D$5</f>
        <v>Project</v>
      </c>
      <c r="E5" s="899"/>
      <c r="F5" s="835"/>
      <c r="G5" s="131" t="s">
        <v>5</v>
      </c>
      <c r="H5" s="132"/>
      <c r="I5" s="987"/>
      <c r="J5" s="834"/>
      <c r="K5" s="835"/>
      <c r="L5" s="386" t="str">
        <f>'Front Page'!$D$5</f>
        <v>Project</v>
      </c>
      <c r="M5" s="899"/>
      <c r="N5" s="835"/>
      <c r="O5" s="131" t="s">
        <v>5</v>
      </c>
      <c r="P5" s="132"/>
      <c r="Q5" s="5"/>
      <c r="R5" s="5"/>
      <c r="S5" s="5"/>
      <c r="T5" s="5"/>
      <c r="U5" s="5"/>
      <c r="V5" s="5"/>
      <c r="W5" s="5"/>
      <c r="X5" s="5"/>
    </row>
    <row r="6" spans="1:24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  <c r="S6" s="5"/>
      <c r="T6" s="5"/>
      <c r="U6" s="5"/>
      <c r="V6" s="5"/>
      <c r="W6" s="5"/>
      <c r="X6" s="5"/>
    </row>
    <row r="7" spans="1:24" ht="15" customHeight="1" x14ac:dyDescent="0.25">
      <c r="A7" s="134" t="s">
        <v>883</v>
      </c>
      <c r="B7" s="5"/>
      <c r="C7" s="5"/>
      <c r="D7" s="5"/>
      <c r="E7" s="65"/>
      <c r="F7" s="65"/>
      <c r="G7" s="142"/>
      <c r="H7" s="117"/>
      <c r="I7" s="134" t="s">
        <v>883</v>
      </c>
      <c r="J7" s="5"/>
      <c r="K7" s="5"/>
      <c r="L7" s="5"/>
      <c r="M7" s="65"/>
      <c r="N7" s="65"/>
      <c r="O7" s="142"/>
      <c r="P7" s="117"/>
      <c r="Q7" s="5"/>
      <c r="R7" s="5"/>
      <c r="S7" s="5"/>
      <c r="T7" s="5"/>
      <c r="U7" s="5"/>
      <c r="V7" s="5"/>
      <c r="W7" s="5"/>
      <c r="X7" s="5"/>
    </row>
    <row r="8" spans="1:24" ht="15" customHeight="1" x14ac:dyDescent="0.2">
      <c r="A8" s="118"/>
      <c r="B8" s="5"/>
      <c r="C8" s="5"/>
      <c r="D8" s="5"/>
      <c r="E8" s="65"/>
      <c r="F8" s="65"/>
      <c r="G8" s="142"/>
      <c r="H8" s="117"/>
      <c r="I8" s="118"/>
      <c r="J8" s="5"/>
      <c r="K8" s="5"/>
      <c r="L8" s="5"/>
      <c r="M8" s="65"/>
      <c r="N8" s="65"/>
      <c r="O8" s="142"/>
      <c r="P8" s="117"/>
      <c r="Q8" s="5"/>
      <c r="R8" s="5"/>
      <c r="S8" s="5"/>
      <c r="T8" s="5"/>
      <c r="U8" s="5"/>
      <c r="V8" s="5"/>
      <c r="W8" s="5"/>
      <c r="X8" s="5"/>
    </row>
    <row r="9" spans="1:24" x14ac:dyDescent="0.2">
      <c r="A9" s="5" t="s">
        <v>197</v>
      </c>
      <c r="B9" s="387">
        <f>'Weight Calculations'!H71+'Thermal calculation 2'!K82</f>
        <v>80084.941287362512</v>
      </c>
      <c r="C9" s="982" t="s">
        <v>884</v>
      </c>
      <c r="D9" s="809"/>
      <c r="E9" s="809"/>
      <c r="F9" s="809"/>
      <c r="G9" s="809"/>
      <c r="H9" s="809"/>
      <c r="I9" s="5" t="s">
        <v>197</v>
      </c>
      <c r="J9" s="387">
        <f>B9*2.205</f>
        <v>176587.29553863435</v>
      </c>
      <c r="K9" s="901" t="s">
        <v>885</v>
      </c>
      <c r="L9" s="809"/>
      <c r="M9" s="809"/>
      <c r="N9" s="809"/>
      <c r="O9" s="809"/>
      <c r="P9" s="809"/>
      <c r="Q9" s="5"/>
      <c r="R9" s="5"/>
      <c r="S9" s="5"/>
      <c r="T9" s="5"/>
      <c r="U9" s="5"/>
      <c r="V9" s="5"/>
      <c r="W9" s="5"/>
      <c r="X9" s="5"/>
    </row>
    <row r="10" spans="1:24" x14ac:dyDescent="0.2">
      <c r="A10" s="5"/>
      <c r="B10" s="5"/>
      <c r="C10" s="809"/>
      <c r="D10" s="809"/>
      <c r="E10" s="809"/>
      <c r="F10" s="809"/>
      <c r="G10" s="809"/>
      <c r="H10" s="809"/>
      <c r="I10" s="5"/>
      <c r="J10" s="5"/>
      <c r="K10" s="809"/>
      <c r="L10" s="809"/>
      <c r="M10" s="809"/>
      <c r="N10" s="809"/>
      <c r="O10" s="809"/>
      <c r="P10" s="809"/>
      <c r="Q10" s="5"/>
      <c r="R10" s="5"/>
      <c r="S10" s="5"/>
      <c r="T10" s="5"/>
      <c r="U10" s="5"/>
      <c r="V10" s="5"/>
      <c r="W10" s="5"/>
      <c r="X10" s="5"/>
    </row>
    <row r="11" spans="1:24" x14ac:dyDescent="0.2">
      <c r="A11" s="5" t="s">
        <v>886</v>
      </c>
      <c r="B11" s="389">
        <f>'Main Dimensions Calcs'!D18</f>
        <v>8000</v>
      </c>
      <c r="C11" s="5" t="s">
        <v>887</v>
      </c>
      <c r="D11" s="5"/>
      <c r="E11" s="65"/>
      <c r="F11" s="65"/>
      <c r="G11" s="142"/>
      <c r="H11" s="117"/>
      <c r="I11" s="5" t="s">
        <v>886</v>
      </c>
      <c r="J11" s="390">
        <f>B11*0.062428</f>
        <v>499.42399999999998</v>
      </c>
      <c r="K11" s="64" t="s">
        <v>888</v>
      </c>
      <c r="L11" s="5"/>
      <c r="M11" s="65"/>
      <c r="N11" s="65"/>
      <c r="O11" s="142"/>
      <c r="P11" s="117"/>
      <c r="Q11" s="5"/>
      <c r="R11" s="5"/>
      <c r="S11" s="5"/>
      <c r="T11" s="5"/>
      <c r="U11" s="5"/>
      <c r="V11" s="5"/>
      <c r="W11" s="5"/>
      <c r="X11" s="5"/>
    </row>
    <row r="12" spans="1:24" x14ac:dyDescent="0.2">
      <c r="A12" s="5"/>
      <c r="B12" s="5"/>
      <c r="C12" s="5"/>
      <c r="D12" s="5"/>
      <c r="E12" s="65"/>
      <c r="F12" s="65"/>
      <c r="G12" s="142"/>
      <c r="H12" s="117">
        <f>B14*0.1</f>
        <v>1.4999999999999999E-2</v>
      </c>
      <c r="I12" s="5"/>
      <c r="J12" s="5"/>
      <c r="K12" s="5"/>
      <c r="L12" s="5"/>
      <c r="M12" s="65"/>
      <c r="N12" s="65"/>
      <c r="O12" s="142"/>
      <c r="P12" s="117"/>
      <c r="Q12" s="5"/>
      <c r="R12" s="5"/>
      <c r="S12" s="5"/>
      <c r="T12" s="5"/>
      <c r="U12" s="5"/>
      <c r="V12" s="5"/>
      <c r="W12" s="5"/>
      <c r="X12" s="5"/>
    </row>
    <row r="13" spans="1:24" x14ac:dyDescent="0.2">
      <c r="A13" s="5" t="s">
        <v>889</v>
      </c>
      <c r="B13" s="389">
        <f>'Main Dimensions Calcs'!D11</f>
        <v>808</v>
      </c>
      <c r="C13" s="5" t="s">
        <v>890</v>
      </c>
      <c r="D13" s="5"/>
      <c r="E13" s="65"/>
      <c r="F13" s="65"/>
      <c r="G13" s="142"/>
      <c r="H13" s="117">
        <f>B15*0.1</f>
        <v>2.5000000000000001E-4</v>
      </c>
      <c r="I13" s="5" t="s">
        <v>889</v>
      </c>
      <c r="J13" s="390">
        <f>B13*0.062428</f>
        <v>50.441823999999997</v>
      </c>
      <c r="K13" s="64" t="s">
        <v>891</v>
      </c>
      <c r="L13" s="5"/>
      <c r="M13" s="65"/>
      <c r="N13" s="65"/>
      <c r="O13" s="142"/>
      <c r="P13" s="117"/>
      <c r="Q13" s="5"/>
      <c r="R13" s="5"/>
      <c r="S13" s="5"/>
      <c r="T13" s="5"/>
      <c r="U13" s="5"/>
      <c r="V13" s="5"/>
      <c r="W13" s="5"/>
      <c r="X13" s="5"/>
    </row>
    <row r="14" spans="1:24" x14ac:dyDescent="0.2">
      <c r="A14" s="5" t="s">
        <v>892</v>
      </c>
      <c r="B14" s="389">
        <f>'Design Conditions'!G13</f>
        <v>0.15</v>
      </c>
      <c r="C14" s="5" t="s">
        <v>893</v>
      </c>
      <c r="D14" s="5"/>
      <c r="E14" s="5"/>
      <c r="F14" s="5"/>
      <c r="G14" s="5"/>
      <c r="H14" s="5">
        <f>H12+H13</f>
        <v>1.525E-2</v>
      </c>
      <c r="I14" s="5" t="s">
        <v>892</v>
      </c>
      <c r="J14" s="390">
        <f>B14*14.5</f>
        <v>2.1749999999999998</v>
      </c>
      <c r="K14" s="64" t="s">
        <v>894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">
      <c r="A15" s="5" t="s">
        <v>895</v>
      </c>
      <c r="B15" s="389">
        <f>'Design Conditions'!J22</f>
        <v>2.5000000000000001E-3</v>
      </c>
      <c r="C15" s="5" t="s">
        <v>896</v>
      </c>
      <c r="D15" s="5"/>
      <c r="E15" s="5"/>
      <c r="F15" s="5"/>
      <c r="G15" s="5"/>
      <c r="H15" s="5"/>
      <c r="I15" s="5" t="s">
        <v>895</v>
      </c>
      <c r="J15" s="391">
        <f>B15*14.5</f>
        <v>3.6249999999999998E-2</v>
      </c>
      <c r="K15" s="64" t="s">
        <v>897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">
      <c r="A17" s="5" t="s">
        <v>898</v>
      </c>
      <c r="B17" s="389">
        <f>'Allowable Stresses'!G31</f>
        <v>155.12961941533371</v>
      </c>
      <c r="C17" s="982" t="s">
        <v>899</v>
      </c>
      <c r="D17" s="809"/>
      <c r="E17" s="809"/>
      <c r="F17" s="809"/>
      <c r="G17" s="809"/>
      <c r="H17" s="809"/>
      <c r="I17" s="5" t="s">
        <v>898</v>
      </c>
      <c r="J17" s="390">
        <f>B17*145.04</f>
        <v>22500</v>
      </c>
      <c r="K17" s="901" t="s">
        <v>900</v>
      </c>
      <c r="L17" s="809"/>
      <c r="M17" s="809"/>
      <c r="N17" s="809"/>
      <c r="O17" s="809"/>
      <c r="P17" s="809"/>
      <c r="Q17" s="5"/>
      <c r="R17" s="5"/>
      <c r="S17" s="5"/>
      <c r="T17" s="5"/>
      <c r="U17" s="5"/>
      <c r="V17" s="5"/>
      <c r="W17" s="5"/>
      <c r="X17" s="5"/>
    </row>
    <row r="18" spans="1:24" x14ac:dyDescent="0.2">
      <c r="A18" s="5" t="s">
        <v>901</v>
      </c>
      <c r="B18" s="389">
        <f>'Allowable Stresses'!E31</f>
        <v>517.09873138444573</v>
      </c>
      <c r="C18" s="5" t="s">
        <v>902</v>
      </c>
      <c r="D18" s="5"/>
      <c r="E18" s="5"/>
      <c r="F18" s="5"/>
      <c r="G18" s="5"/>
      <c r="H18" s="5"/>
      <c r="I18" s="5" t="s">
        <v>901</v>
      </c>
      <c r="J18" s="390">
        <f>B18*145.04</f>
        <v>75000</v>
      </c>
      <c r="K18" s="64" t="s">
        <v>903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">
      <c r="A19" s="5" t="s">
        <v>904</v>
      </c>
      <c r="B19" s="216">
        <v>1</v>
      </c>
      <c r="C19" s="982" t="s">
        <v>905</v>
      </c>
      <c r="D19" s="809"/>
      <c r="E19" s="809"/>
      <c r="F19" s="809"/>
      <c r="G19" s="809"/>
      <c r="H19" s="809"/>
      <c r="I19" s="5" t="s">
        <v>904</v>
      </c>
      <c r="J19" s="216">
        <v>1</v>
      </c>
      <c r="K19" s="982" t="s">
        <v>905</v>
      </c>
      <c r="L19" s="809"/>
      <c r="M19" s="809"/>
      <c r="N19" s="809"/>
      <c r="O19" s="809"/>
      <c r="P19" s="809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5" t="s">
        <v>906</v>
      </c>
      <c r="B20" s="216">
        <v>1</v>
      </c>
      <c r="C20" s="982" t="s">
        <v>907</v>
      </c>
      <c r="D20" s="809"/>
      <c r="E20" s="809"/>
      <c r="F20" s="809"/>
      <c r="G20" s="809"/>
      <c r="H20" s="809"/>
      <c r="I20" s="5" t="s">
        <v>906</v>
      </c>
      <c r="J20" s="216">
        <v>1</v>
      </c>
      <c r="K20" s="982" t="s">
        <v>907</v>
      </c>
      <c r="L20" s="809"/>
      <c r="M20" s="809"/>
      <c r="N20" s="809"/>
      <c r="O20" s="809"/>
      <c r="P20" s="809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5" t="s">
        <v>908</v>
      </c>
      <c r="B21" s="391">
        <f>'Main Dimensions Calcs'!D53/1000</f>
        <v>20.6</v>
      </c>
      <c r="C21" s="5" t="s">
        <v>909</v>
      </c>
      <c r="D21" s="5"/>
      <c r="E21" s="5"/>
      <c r="F21" s="5"/>
      <c r="G21" s="5"/>
      <c r="H21" s="5"/>
      <c r="I21" s="5" t="s">
        <v>908</v>
      </c>
      <c r="J21" s="390">
        <f>B21*1000/25.4</f>
        <v>811.02362204724409</v>
      </c>
      <c r="K21" s="64" t="s">
        <v>910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5" t="s">
        <v>911</v>
      </c>
      <c r="B22" s="391">
        <f>'Main Dimensions Calcs'!D51/1000</f>
        <v>4.3499999999999996</v>
      </c>
      <c r="C22" s="5" t="s">
        <v>912</v>
      </c>
      <c r="D22" s="5"/>
      <c r="E22" s="5"/>
      <c r="F22" s="5"/>
      <c r="G22" s="5"/>
      <c r="H22" s="5"/>
      <c r="I22" s="5" t="s">
        <v>911</v>
      </c>
      <c r="J22" s="390">
        <f>B22*1000/25.4</f>
        <v>171.25984251968504</v>
      </c>
      <c r="K22" s="64" t="s">
        <v>913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35.25" customHeight="1" x14ac:dyDescent="0.25">
      <c r="A24" s="983" t="s">
        <v>914</v>
      </c>
      <c r="B24" s="809"/>
      <c r="C24" s="809"/>
      <c r="D24" s="809"/>
      <c r="E24" s="809"/>
      <c r="F24" s="809"/>
      <c r="G24" s="809"/>
      <c r="H24" s="809"/>
      <c r="I24" s="983" t="s">
        <v>914</v>
      </c>
      <c r="J24" s="809"/>
      <c r="K24" s="809"/>
      <c r="L24" s="809"/>
      <c r="M24" s="809"/>
      <c r="N24" s="809"/>
      <c r="O24" s="809"/>
      <c r="P24" s="809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3.35" customHeight="1" x14ac:dyDescent="0.2">
      <c r="A26" s="392" t="s">
        <v>256</v>
      </c>
      <c r="B26" s="218" t="s">
        <v>915</v>
      </c>
      <c r="C26" s="218" t="s">
        <v>255</v>
      </c>
      <c r="D26" s="5" t="s">
        <v>916</v>
      </c>
      <c r="E26" s="218" t="s">
        <v>917</v>
      </c>
      <c r="F26" s="218" t="s">
        <v>918</v>
      </c>
      <c r="G26" s="218" t="s">
        <v>919</v>
      </c>
      <c r="H26" s="5"/>
      <c r="I26" s="393" t="s">
        <v>256</v>
      </c>
      <c r="J26" s="393" t="s">
        <v>915</v>
      </c>
      <c r="K26" s="393" t="s">
        <v>255</v>
      </c>
      <c r="L26" s="394" t="s">
        <v>916</v>
      </c>
      <c r="M26" s="393" t="s">
        <v>917</v>
      </c>
      <c r="N26" s="393" t="s">
        <v>918</v>
      </c>
      <c r="O26" s="395" t="s">
        <v>919</v>
      </c>
      <c r="P26" s="5"/>
      <c r="Q26" s="5"/>
      <c r="R26" s="5"/>
      <c r="S26" s="5"/>
      <c r="T26" s="5"/>
      <c r="U26" s="5"/>
      <c r="V26" s="5"/>
      <c r="W26" s="5"/>
      <c r="X26" s="5"/>
    </row>
    <row r="27" spans="1:24" ht="40.5" customHeight="1" x14ac:dyDescent="0.2">
      <c r="A27" s="396" t="s">
        <v>253</v>
      </c>
      <c r="B27" s="298" t="s">
        <v>920</v>
      </c>
      <c r="C27" s="298" t="s">
        <v>921</v>
      </c>
      <c r="D27" s="298" t="s">
        <v>562</v>
      </c>
      <c r="E27" s="298" t="s">
        <v>922</v>
      </c>
      <c r="F27" s="298" t="s">
        <v>923</v>
      </c>
      <c r="G27" s="298" t="s">
        <v>924</v>
      </c>
      <c r="H27" s="5"/>
      <c r="I27" s="397" t="s">
        <v>253</v>
      </c>
      <c r="J27" s="398" t="s">
        <v>920</v>
      </c>
      <c r="K27" s="398" t="s">
        <v>921</v>
      </c>
      <c r="L27" s="398" t="s">
        <v>562</v>
      </c>
      <c r="M27" s="398" t="s">
        <v>922</v>
      </c>
      <c r="N27" s="398" t="s">
        <v>923</v>
      </c>
      <c r="O27" s="398" t="s">
        <v>924</v>
      </c>
      <c r="P27" s="5"/>
      <c r="Q27" s="5"/>
      <c r="R27" s="5"/>
      <c r="S27" s="5"/>
      <c r="T27" s="5"/>
      <c r="U27" s="5"/>
      <c r="V27" s="5"/>
      <c r="W27" s="5"/>
      <c r="X27" s="5"/>
    </row>
    <row r="28" spans="1:24" ht="17.25" customHeight="1" x14ac:dyDescent="0.2">
      <c r="A28" s="5"/>
      <c r="B28" s="14" t="s">
        <v>247</v>
      </c>
      <c r="C28" s="14" t="s">
        <v>247</v>
      </c>
      <c r="D28" s="5"/>
      <c r="E28" s="14" t="s">
        <v>408</v>
      </c>
      <c r="F28" s="14" t="s">
        <v>447</v>
      </c>
      <c r="G28" s="14" t="s">
        <v>925</v>
      </c>
      <c r="H28" s="5"/>
      <c r="I28" s="289"/>
      <c r="J28" s="140" t="s">
        <v>248</v>
      </c>
      <c r="K28" s="140" t="s">
        <v>248</v>
      </c>
      <c r="L28" s="289"/>
      <c r="M28" s="140" t="s">
        <v>248</v>
      </c>
      <c r="N28" s="140" t="s">
        <v>821</v>
      </c>
      <c r="O28" s="140" t="s">
        <v>926</v>
      </c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">
      <c r="A29" s="14">
        <v>1</v>
      </c>
      <c r="B29" s="399">
        <f>'Main Dimensions Calcs'!H7</f>
        <v>8</v>
      </c>
      <c r="C29" s="399">
        <f>'Main Dimensions Calcs'!I7</f>
        <v>2000</v>
      </c>
      <c r="D29" s="399">
        <f>'Main Dimensions Calcs'!K7</f>
        <v>1</v>
      </c>
      <c r="E29" s="400">
        <f>B22</f>
        <v>4.3499999999999996</v>
      </c>
      <c r="F29" s="260">
        <f>$B$21*PI()*$B$11*(SUMPRODUCT(B29:B38,C29:C38))/1000000+B9+('Main Dimensions Calcs'!$D$74*'Main Dimensions Calcs'!$D$53*PI()/1000000000)*1.02*$B$11*SUM(D29:D35)</f>
        <v>115584.95837912016</v>
      </c>
      <c r="G29" s="401">
        <f t="shared" ref="G29:G38" si="0">$B$14*0.1+$B$13*E29*0.0000098-$B$15*0.1</f>
        <v>4.9195039999999995E-2</v>
      </c>
      <c r="H29" s="5"/>
      <c r="I29" s="402">
        <v>1</v>
      </c>
      <c r="J29" s="403">
        <f t="shared" ref="J29:J38" si="1">B29/25.4</f>
        <v>0.31496062992125984</v>
      </c>
      <c r="K29" s="403">
        <f t="shared" ref="K29:K38" si="2">C29/25.4</f>
        <v>78.740157480314963</v>
      </c>
      <c r="L29" s="404">
        <f t="shared" ref="L29:L38" si="3">D29</f>
        <v>1</v>
      </c>
      <c r="M29" s="405">
        <f t="shared" ref="M29:M38" si="4">E29*1000/25.4</f>
        <v>171.25984251968504</v>
      </c>
      <c r="N29" s="406">
        <f t="shared" ref="N29:N38" si="5">F29*2.205</f>
        <v>254864.83322595997</v>
      </c>
      <c r="O29" s="407">
        <f t="shared" ref="O29:O38" si="6">G29*145.04</f>
        <v>7.135248601599999</v>
      </c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2">
      <c r="A30" s="14">
        <v>2</v>
      </c>
      <c r="B30" s="399">
        <f>'Main Dimensions Calcs'!H8</f>
        <v>8</v>
      </c>
      <c r="C30" s="399">
        <f>'Main Dimensions Calcs'!I8</f>
        <v>2000</v>
      </c>
      <c r="D30" s="399">
        <f>'Main Dimensions Calcs'!K8</f>
        <v>2</v>
      </c>
      <c r="E30" s="400">
        <f t="shared" ref="E30:E38" si="7">IF(E29-C29/1000&gt;0,E29-C29/1000,0)</f>
        <v>2.3499999999999996</v>
      </c>
      <c r="F30" s="260">
        <f>F29-B29*C29*$B$21*PI()*$B$11/1000000-('Main Dimensions Calcs'!$D$74*'Main Dimensions Calcs'!$D$53*PI()/1000000000)*1.02*$B$11*D29</f>
        <v>106667.49987969719</v>
      </c>
      <c r="G30" s="401">
        <f t="shared" si="0"/>
        <v>3.3358239999999997E-2</v>
      </c>
      <c r="H30" s="5"/>
      <c r="I30" s="402">
        <v>2</v>
      </c>
      <c r="J30" s="403">
        <f t="shared" si="1"/>
        <v>0.31496062992125984</v>
      </c>
      <c r="K30" s="403">
        <f t="shared" si="2"/>
        <v>78.740157480314963</v>
      </c>
      <c r="L30" s="404">
        <f t="shared" si="3"/>
        <v>2</v>
      </c>
      <c r="M30" s="405">
        <f t="shared" si="4"/>
        <v>92.51968503937006</v>
      </c>
      <c r="N30" s="406">
        <f t="shared" si="5"/>
        <v>235201.83723473232</v>
      </c>
      <c r="O30" s="407">
        <f t="shared" si="6"/>
        <v>4.8382791295999992</v>
      </c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">
      <c r="A31" s="14">
        <v>3</v>
      </c>
      <c r="B31" s="399">
        <f>'Main Dimensions Calcs'!H9</f>
        <v>8</v>
      </c>
      <c r="C31" s="399">
        <f>'Main Dimensions Calcs'!I9</f>
        <v>2000</v>
      </c>
      <c r="D31" s="399">
        <f>'Main Dimensions Calcs'!K9</f>
        <v>2</v>
      </c>
      <c r="E31" s="400">
        <f t="shared" si="7"/>
        <v>0.34999999999999964</v>
      </c>
      <c r="F31" s="260">
        <f>F30-B30*C30*$B$21*PI()*$B$11/1000000-('Main Dimensions Calcs'!$D$74*'Main Dimensions Calcs'!$D$53*PI()/1000000000)*1.02*$B$11*D30</f>
        <v>97116.334389836833</v>
      </c>
      <c r="G31" s="401">
        <f t="shared" si="0"/>
        <v>1.7521439999999996E-2</v>
      </c>
      <c r="H31" s="5"/>
      <c r="I31" s="402">
        <v>3</v>
      </c>
      <c r="J31" s="403">
        <f t="shared" si="1"/>
        <v>0.31496062992125984</v>
      </c>
      <c r="K31" s="403">
        <f t="shared" si="2"/>
        <v>78.740157480314963</v>
      </c>
      <c r="L31" s="404">
        <f t="shared" si="3"/>
        <v>2</v>
      </c>
      <c r="M31" s="405">
        <f t="shared" si="4"/>
        <v>13.779527559055106</v>
      </c>
      <c r="N31" s="406">
        <f t="shared" si="5"/>
        <v>214141.51732959022</v>
      </c>
      <c r="O31" s="407">
        <f t="shared" si="6"/>
        <v>2.5413096575999994</v>
      </c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">
      <c r="A32" s="14">
        <v>4</v>
      </c>
      <c r="B32" s="399">
        <f>'Main Dimensions Calcs'!H10</f>
        <v>8</v>
      </c>
      <c r="C32" s="399">
        <f>'Main Dimensions Calcs'!I10</f>
        <v>1500</v>
      </c>
      <c r="D32" s="399">
        <f>'Main Dimensions Calcs'!K10</f>
        <v>2</v>
      </c>
      <c r="E32" s="400">
        <f t="shared" si="7"/>
        <v>0</v>
      </c>
      <c r="F32" s="260">
        <f>F31-B31*C31*$B$21*PI()*$B$11/1000000-('Main Dimensions Calcs'!$D$74*'Main Dimensions Calcs'!$D$53*PI()/1000000000)*1.02*$B$11*D31</f>
        <v>87565.168899976474</v>
      </c>
      <c r="G32" s="401">
        <f t="shared" si="0"/>
        <v>1.4749999999999999E-2</v>
      </c>
      <c r="H32" s="5"/>
      <c r="I32" s="402">
        <v>4</v>
      </c>
      <c r="J32" s="403">
        <f t="shared" si="1"/>
        <v>0.31496062992125984</v>
      </c>
      <c r="K32" s="403">
        <f t="shared" si="2"/>
        <v>59.055118110236222</v>
      </c>
      <c r="L32" s="404">
        <f t="shared" si="3"/>
        <v>2</v>
      </c>
      <c r="M32" s="405">
        <f t="shared" si="4"/>
        <v>0</v>
      </c>
      <c r="N32" s="406">
        <f t="shared" si="5"/>
        <v>193081.19742444812</v>
      </c>
      <c r="O32" s="407">
        <f t="shared" si="6"/>
        <v>2.1393399999999998</v>
      </c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">
      <c r="A33" s="14">
        <v>5</v>
      </c>
      <c r="B33" s="399">
        <f>'Main Dimensions Calcs'!H11</f>
        <v>0</v>
      </c>
      <c r="C33" s="399">
        <f>'Main Dimensions Calcs'!I11</f>
        <v>0</v>
      </c>
      <c r="D33" s="399">
        <f>'Main Dimensions Calcs'!K11</f>
        <v>0</v>
      </c>
      <c r="E33" s="400">
        <f t="shared" si="7"/>
        <v>0</v>
      </c>
      <c r="F33" s="260">
        <f>F32-B32*C32*$B$21*PI()*$B$11/1000000-('Main Dimensions Calcs'!$D$74*'Main Dimensions Calcs'!$D$53*PI()/1000000000)*1.02*$B$11*D32</f>
        <v>80084.941287362512</v>
      </c>
      <c r="G33" s="401">
        <f t="shared" si="0"/>
        <v>1.4749999999999999E-2</v>
      </c>
      <c r="H33" s="5"/>
      <c r="I33" s="402">
        <v>5</v>
      </c>
      <c r="J33" s="403">
        <f t="shared" si="1"/>
        <v>0</v>
      </c>
      <c r="K33" s="403">
        <f t="shared" si="2"/>
        <v>0</v>
      </c>
      <c r="L33" s="404">
        <f t="shared" si="3"/>
        <v>0</v>
      </c>
      <c r="M33" s="405">
        <f t="shared" si="4"/>
        <v>0</v>
      </c>
      <c r="N33" s="406">
        <f t="shared" si="5"/>
        <v>176587.29553863435</v>
      </c>
      <c r="O33" s="407">
        <f t="shared" si="6"/>
        <v>2.1393399999999998</v>
      </c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">
      <c r="A34" s="14">
        <v>6</v>
      </c>
      <c r="B34" s="399">
        <f>'Main Dimensions Calcs'!H12</f>
        <v>0</v>
      </c>
      <c r="C34" s="399">
        <f>'Main Dimensions Calcs'!I12</f>
        <v>0</v>
      </c>
      <c r="D34" s="399">
        <f>'Main Dimensions Calcs'!K12</f>
        <v>0</v>
      </c>
      <c r="E34" s="400">
        <f t="shared" si="7"/>
        <v>0</v>
      </c>
      <c r="F34" s="260">
        <f>F33-B33*C33*$B$21*PI()*$B$11/1000000-('Main Dimensions Calcs'!$D$74*'Main Dimensions Calcs'!$D$53*PI()/1000000000)*1.02*$B$11*D33</f>
        <v>80084.941287362512</v>
      </c>
      <c r="G34" s="401">
        <f t="shared" si="0"/>
        <v>1.4749999999999999E-2</v>
      </c>
      <c r="H34" s="5"/>
      <c r="I34" s="402">
        <v>6</v>
      </c>
      <c r="J34" s="403">
        <f t="shared" si="1"/>
        <v>0</v>
      </c>
      <c r="K34" s="403">
        <f t="shared" si="2"/>
        <v>0</v>
      </c>
      <c r="L34" s="404">
        <f t="shared" si="3"/>
        <v>0</v>
      </c>
      <c r="M34" s="405">
        <f t="shared" si="4"/>
        <v>0</v>
      </c>
      <c r="N34" s="406">
        <f t="shared" si="5"/>
        <v>176587.29553863435</v>
      </c>
      <c r="O34" s="407">
        <f t="shared" si="6"/>
        <v>2.1393399999999998</v>
      </c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">
      <c r="A35" s="14">
        <v>7</v>
      </c>
      <c r="B35" s="399">
        <f>'Main Dimensions Calcs'!H13</f>
        <v>0</v>
      </c>
      <c r="C35" s="399">
        <f>'Main Dimensions Calcs'!I13</f>
        <v>0</v>
      </c>
      <c r="D35" s="399">
        <f>'Main Dimensions Calcs'!K13</f>
        <v>0</v>
      </c>
      <c r="E35" s="400">
        <f t="shared" si="7"/>
        <v>0</v>
      </c>
      <c r="F35" s="260">
        <f>F34-B34*C34*$B$21*PI()*$B$11/1000000-('Main Dimensions Calcs'!$D$74*'Main Dimensions Calcs'!$D$53*PI()/1000000000)*1.02*$B$11*D34</f>
        <v>80084.941287362512</v>
      </c>
      <c r="G35" s="401">
        <f t="shared" si="0"/>
        <v>1.4749999999999999E-2</v>
      </c>
      <c r="H35" s="5"/>
      <c r="I35" s="402">
        <v>7</v>
      </c>
      <c r="J35" s="403">
        <f t="shared" si="1"/>
        <v>0</v>
      </c>
      <c r="K35" s="403">
        <f t="shared" si="2"/>
        <v>0</v>
      </c>
      <c r="L35" s="404">
        <f t="shared" si="3"/>
        <v>0</v>
      </c>
      <c r="M35" s="405">
        <f t="shared" si="4"/>
        <v>0</v>
      </c>
      <c r="N35" s="406">
        <f t="shared" si="5"/>
        <v>176587.29553863435</v>
      </c>
      <c r="O35" s="407">
        <f t="shared" si="6"/>
        <v>2.1393399999999998</v>
      </c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">
      <c r="A36" s="14">
        <v>8</v>
      </c>
      <c r="B36" s="399">
        <f>'Main Dimensions Calcs'!H14</f>
        <v>0</v>
      </c>
      <c r="C36" s="399">
        <f>'Main Dimensions Calcs'!J16</f>
        <v>0</v>
      </c>
      <c r="D36" s="399">
        <f>'Main Dimensions Calcs'!K14</f>
        <v>0</v>
      </c>
      <c r="E36" s="400">
        <f t="shared" si="7"/>
        <v>0</v>
      </c>
      <c r="F36" s="260">
        <f>F35-B35*C35*$B$21*PI()*$B$11/1000000-('Main Dimensions Calcs'!$D$74*'Main Dimensions Calcs'!$D$53*PI()/1000000000)*1.02*$B$11*D35</f>
        <v>80084.941287362512</v>
      </c>
      <c r="G36" s="401">
        <f t="shared" si="0"/>
        <v>1.4749999999999999E-2</v>
      </c>
      <c r="H36" s="5"/>
      <c r="I36" s="402">
        <v>8</v>
      </c>
      <c r="J36" s="403">
        <f t="shared" si="1"/>
        <v>0</v>
      </c>
      <c r="K36" s="403">
        <f t="shared" si="2"/>
        <v>0</v>
      </c>
      <c r="L36" s="404">
        <f t="shared" si="3"/>
        <v>0</v>
      </c>
      <c r="M36" s="405">
        <f t="shared" si="4"/>
        <v>0</v>
      </c>
      <c r="N36" s="406">
        <f t="shared" si="5"/>
        <v>176587.29553863435</v>
      </c>
      <c r="O36" s="407">
        <f t="shared" si="6"/>
        <v>2.1393399999999998</v>
      </c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14">
        <v>9</v>
      </c>
      <c r="B37" s="399">
        <f>'Main Dimensions Calcs'!H15</f>
        <v>0</v>
      </c>
      <c r="C37" s="399">
        <f>'Main Dimensions Calcs'!I15</f>
        <v>0</v>
      </c>
      <c r="D37" s="399">
        <f>'Main Dimensions Calcs'!K15</f>
        <v>0</v>
      </c>
      <c r="E37" s="400">
        <f t="shared" si="7"/>
        <v>0</v>
      </c>
      <c r="F37" s="260">
        <f>F36-B36*C36*$B$21*PI()*$B$11/1000000</f>
        <v>80084.941287362512</v>
      </c>
      <c r="G37" s="401">
        <f t="shared" si="0"/>
        <v>1.4749999999999999E-2</v>
      </c>
      <c r="H37" s="5"/>
      <c r="I37" s="402">
        <v>9</v>
      </c>
      <c r="J37" s="403">
        <f t="shared" si="1"/>
        <v>0</v>
      </c>
      <c r="K37" s="403">
        <f t="shared" si="2"/>
        <v>0</v>
      </c>
      <c r="L37" s="404">
        <f t="shared" si="3"/>
        <v>0</v>
      </c>
      <c r="M37" s="405">
        <f t="shared" si="4"/>
        <v>0</v>
      </c>
      <c r="N37" s="406">
        <f t="shared" si="5"/>
        <v>176587.29553863435</v>
      </c>
      <c r="O37" s="407">
        <f t="shared" si="6"/>
        <v>2.1393399999999998</v>
      </c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">
      <c r="A38" s="14">
        <v>10</v>
      </c>
      <c r="B38" s="399">
        <f>'Main Dimensions Calcs'!H16</f>
        <v>0</v>
      </c>
      <c r="C38" s="399">
        <f>'Main Dimensions Calcs'!I16</f>
        <v>0</v>
      </c>
      <c r="D38" s="399">
        <f>'Main Dimensions Calcs'!K17</f>
        <v>0</v>
      </c>
      <c r="E38" s="400">
        <f t="shared" si="7"/>
        <v>0</v>
      </c>
      <c r="F38" s="260">
        <f>F37-B37*C37*$B$21*PI()*$B$11/1000000</f>
        <v>80084.941287362512</v>
      </c>
      <c r="G38" s="401">
        <f t="shared" si="0"/>
        <v>1.4749999999999999E-2</v>
      </c>
      <c r="H38" s="5"/>
      <c r="I38" s="402">
        <v>10</v>
      </c>
      <c r="J38" s="403">
        <f t="shared" si="1"/>
        <v>0</v>
      </c>
      <c r="K38" s="403">
        <f t="shared" si="2"/>
        <v>0</v>
      </c>
      <c r="L38" s="404">
        <f t="shared" si="3"/>
        <v>0</v>
      </c>
      <c r="M38" s="405">
        <f t="shared" si="4"/>
        <v>0</v>
      </c>
      <c r="N38" s="406">
        <f t="shared" si="5"/>
        <v>176587.29553863435</v>
      </c>
      <c r="O38" s="407">
        <f t="shared" si="6"/>
        <v>2.1393399999999998</v>
      </c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3.5" customHeight="1" thickBo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7.25" customHeight="1" thickTop="1" thickBot="1" x14ac:dyDescent="0.3">
      <c r="A43" s="28"/>
      <c r="B43" s="4"/>
      <c r="C43" s="408"/>
      <c r="D43" s="934" t="str">
        <f>'Front Page'!$A$13</f>
        <v>Mechanical  Calculations</v>
      </c>
      <c r="E43" s="842"/>
      <c r="F43" s="842"/>
      <c r="G43" s="842"/>
      <c r="H43" s="859"/>
      <c r="I43" s="28"/>
      <c r="J43" s="4"/>
      <c r="K43" s="408"/>
      <c r="L43" s="934" t="str">
        <f>'Front Page'!$A$13</f>
        <v>Mechanical  Calculations</v>
      </c>
      <c r="M43" s="842"/>
      <c r="N43" s="842"/>
      <c r="O43" s="842"/>
      <c r="P43" s="859"/>
      <c r="Q43" s="5"/>
      <c r="R43" s="5"/>
      <c r="S43" s="5"/>
      <c r="T43" s="5"/>
      <c r="U43" s="5"/>
      <c r="V43" s="5"/>
      <c r="W43" s="5"/>
      <c r="X43" s="5"/>
    </row>
    <row r="44" spans="1:24" ht="16.5" customHeight="1" thickBot="1" x14ac:dyDescent="0.3">
      <c r="A44" s="6"/>
      <c r="B44" s="5"/>
      <c r="C44" s="14"/>
      <c r="D44" s="984"/>
      <c r="E44" s="831"/>
      <c r="F44" s="831"/>
      <c r="G44" s="831"/>
      <c r="H44" s="854"/>
      <c r="I44" s="6"/>
      <c r="J44" s="5"/>
      <c r="K44" s="14"/>
      <c r="L44" s="984"/>
      <c r="M44" s="831"/>
      <c r="N44" s="831"/>
      <c r="O44" s="831"/>
      <c r="P44" s="854"/>
      <c r="Q44" s="5"/>
      <c r="R44" s="5"/>
      <c r="S44" s="5"/>
      <c r="T44" s="5"/>
      <c r="U44" s="5"/>
      <c r="V44" s="5"/>
      <c r="W44" s="5"/>
      <c r="X44" s="5"/>
    </row>
    <row r="45" spans="1:24" ht="16.5" customHeight="1" thickBot="1" x14ac:dyDescent="0.3">
      <c r="A45" s="8"/>
      <c r="B45" s="9"/>
      <c r="C45" s="409"/>
      <c r="D45" s="985" t="s">
        <v>882</v>
      </c>
      <c r="E45" s="834"/>
      <c r="F45" s="834"/>
      <c r="G45" s="834"/>
      <c r="H45" s="986"/>
      <c r="I45" s="8"/>
      <c r="J45" s="9"/>
      <c r="K45" s="409"/>
      <c r="L45" s="985" t="s">
        <v>882</v>
      </c>
      <c r="M45" s="834"/>
      <c r="N45" s="834"/>
      <c r="O45" s="834"/>
      <c r="P45" s="986"/>
      <c r="Q45" s="5"/>
      <c r="R45" s="5"/>
      <c r="S45" s="5"/>
      <c r="T45" s="5"/>
      <c r="U45" s="5"/>
      <c r="V45" s="5"/>
      <c r="W45" s="5"/>
      <c r="X45" s="5"/>
    </row>
    <row r="46" spans="1:24" ht="16.5" customHeight="1" thickTop="1" thickBot="1" x14ac:dyDescent="0.3">
      <c r="A46" s="873"/>
      <c r="B46" s="848"/>
      <c r="C46" s="865"/>
      <c r="D46" s="385" t="str">
        <f>'Front Page'!$D$4</f>
        <v>Doc Nº</v>
      </c>
      <c r="E46" s="980"/>
      <c r="F46" s="843"/>
      <c r="G46" s="980"/>
      <c r="H46" s="843"/>
      <c r="I46" s="873"/>
      <c r="J46" s="848"/>
      <c r="K46" s="865"/>
      <c r="L46" s="385" t="str">
        <f>'Front Page'!$D$4</f>
        <v>Doc Nº</v>
      </c>
      <c r="M46" s="980"/>
      <c r="N46" s="843"/>
      <c r="O46" s="980"/>
      <c r="P46" s="843"/>
      <c r="Q46" s="5"/>
      <c r="R46" s="5"/>
      <c r="S46" s="5"/>
      <c r="T46" s="5"/>
      <c r="U46" s="5"/>
      <c r="V46" s="5"/>
      <c r="W46" s="5"/>
      <c r="X46" s="5"/>
    </row>
    <row r="47" spans="1:24" ht="15.75" customHeight="1" thickBot="1" x14ac:dyDescent="0.3">
      <c r="A47" s="860"/>
      <c r="B47" s="851"/>
      <c r="C47" s="861"/>
      <c r="D47" s="386" t="str">
        <f>'Front Page'!$D$5</f>
        <v>Project</v>
      </c>
      <c r="E47" s="981"/>
      <c r="F47" s="835"/>
      <c r="G47" s="131" t="s">
        <v>5</v>
      </c>
      <c r="H47" s="132"/>
      <c r="I47" s="860"/>
      <c r="J47" s="851"/>
      <c r="K47" s="861"/>
      <c r="L47" s="386" t="str">
        <f>'Front Page'!$D$5</f>
        <v>Project</v>
      </c>
      <c r="M47" s="981"/>
      <c r="N47" s="835"/>
      <c r="O47" s="131" t="s">
        <v>5</v>
      </c>
      <c r="P47" s="132"/>
      <c r="Q47" s="5"/>
      <c r="R47" s="5"/>
      <c r="S47" s="5"/>
      <c r="T47" s="5"/>
      <c r="U47" s="5"/>
      <c r="V47" s="5"/>
      <c r="W47" s="5"/>
      <c r="X47" s="5"/>
    </row>
    <row r="48" spans="1:24" ht="13.5" customHeight="1" thickTop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5"/>
      <c r="R48" s="5"/>
      <c r="S48" s="5"/>
      <c r="T48" s="5"/>
      <c r="U48" s="5"/>
      <c r="V48" s="5"/>
      <c r="W48" s="5"/>
      <c r="X48" s="5"/>
    </row>
    <row r="49" spans="1:24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2">
      <c r="A50" s="976" t="s">
        <v>927</v>
      </c>
      <c r="B50" s="809"/>
      <c r="C50" s="809"/>
      <c r="D50" s="809"/>
      <c r="E50" s="809"/>
      <c r="F50" s="809"/>
      <c r="G50" s="809"/>
      <c r="H50" s="809"/>
      <c r="I50" s="976" t="s">
        <v>927</v>
      </c>
      <c r="J50" s="809"/>
      <c r="K50" s="809"/>
      <c r="L50" s="809"/>
      <c r="M50" s="809"/>
      <c r="N50" s="809"/>
      <c r="O50" s="809"/>
      <c r="P50" s="809"/>
      <c r="Q50" s="5"/>
      <c r="R50" s="5"/>
      <c r="S50" s="5"/>
      <c r="T50" s="5"/>
      <c r="U50" s="5"/>
      <c r="V50" s="5"/>
      <c r="W50" s="5"/>
      <c r="X50" s="5"/>
    </row>
    <row r="51" spans="1:24" x14ac:dyDescent="0.2">
      <c r="A51" s="809"/>
      <c r="B51" s="809"/>
      <c r="C51" s="809"/>
      <c r="D51" s="809"/>
      <c r="E51" s="809"/>
      <c r="F51" s="809"/>
      <c r="G51" s="809"/>
      <c r="H51" s="809"/>
      <c r="I51" s="809"/>
      <c r="J51" s="809"/>
      <c r="K51" s="809"/>
      <c r="L51" s="809"/>
      <c r="M51" s="809"/>
      <c r="N51" s="809"/>
      <c r="O51" s="809"/>
      <c r="P51" s="809"/>
      <c r="Q51" s="5"/>
      <c r="R51" s="5"/>
      <c r="S51" s="5"/>
      <c r="T51" s="5"/>
      <c r="U51" s="5"/>
      <c r="V51" s="5"/>
      <c r="W51" s="5"/>
      <c r="X51" s="5"/>
    </row>
    <row r="52" spans="1:24" x14ac:dyDescent="0.2">
      <c r="A52" s="809"/>
      <c r="B52" s="809"/>
      <c r="C52" s="809"/>
      <c r="D52" s="809"/>
      <c r="E52" s="809"/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  <c r="Q52" s="5"/>
      <c r="R52" s="5"/>
      <c r="S52" s="5"/>
      <c r="T52" s="5"/>
      <c r="U52" s="5"/>
      <c r="V52" s="5"/>
      <c r="W52" s="5"/>
      <c r="X52" s="5"/>
    </row>
    <row r="53" spans="1:24" ht="24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3.5" customHeight="1" x14ac:dyDescent="0.2">
      <c r="A54" s="932" t="s">
        <v>928</v>
      </c>
      <c r="B54" s="5"/>
      <c r="C54" s="5"/>
      <c r="D54" s="932" t="s">
        <v>929</v>
      </c>
      <c r="E54" s="809"/>
      <c r="F54" s="5"/>
      <c r="G54" s="5"/>
      <c r="H54" s="5"/>
      <c r="I54" s="977" t="s">
        <v>928</v>
      </c>
      <c r="J54" s="411"/>
      <c r="K54" s="411"/>
      <c r="L54" s="977" t="s">
        <v>929</v>
      </c>
      <c r="M54" s="916"/>
      <c r="N54" s="979" t="s">
        <v>930</v>
      </c>
      <c r="O54" s="916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">
      <c r="A55" s="809"/>
      <c r="B55" s="808" t="s">
        <v>931</v>
      </c>
      <c r="C55" s="809"/>
      <c r="D55" s="809"/>
      <c r="E55" s="809"/>
      <c r="F55" s="808" t="s">
        <v>930</v>
      </c>
      <c r="G55" s="809"/>
      <c r="H55" s="5"/>
      <c r="I55" s="906"/>
      <c r="J55" s="978" t="s">
        <v>931</v>
      </c>
      <c r="K55" s="813"/>
      <c r="L55" s="904"/>
      <c r="M55" s="917"/>
      <c r="N55" s="904"/>
      <c r="O55" s="917"/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2">
      <c r="A56" s="413" t="s">
        <v>546</v>
      </c>
      <c r="B56" s="14" t="s">
        <v>932</v>
      </c>
      <c r="C56" s="14" t="s">
        <v>933</v>
      </c>
      <c r="D56" s="14" t="s">
        <v>934</v>
      </c>
      <c r="E56" s="14" t="s">
        <v>935</v>
      </c>
      <c r="F56" s="14" t="s">
        <v>936</v>
      </c>
      <c r="G56" s="14" t="s">
        <v>937</v>
      </c>
      <c r="H56" s="5"/>
      <c r="I56" s="414" t="s">
        <v>546</v>
      </c>
      <c r="J56" s="412" t="s">
        <v>932</v>
      </c>
      <c r="K56" s="412" t="s">
        <v>933</v>
      </c>
      <c r="L56" s="412" t="s">
        <v>934</v>
      </c>
      <c r="M56" s="412" t="s">
        <v>935</v>
      </c>
      <c r="N56" s="415" t="s">
        <v>938</v>
      </c>
      <c r="O56" s="415" t="s">
        <v>939</v>
      </c>
      <c r="P56" s="5"/>
      <c r="Q56" s="5"/>
      <c r="R56" s="5"/>
      <c r="S56" s="5"/>
      <c r="T56" s="5"/>
      <c r="U56" s="5"/>
      <c r="V56" s="5"/>
      <c r="W56" s="5"/>
      <c r="X56" s="5"/>
    </row>
    <row r="57" spans="1:24" x14ac:dyDescent="0.2">
      <c r="A57" s="5"/>
      <c r="B57" s="170" t="s">
        <v>940</v>
      </c>
      <c r="C57" s="14" t="s">
        <v>940</v>
      </c>
      <c r="D57" s="14" t="s">
        <v>247</v>
      </c>
      <c r="E57" s="14" t="s">
        <v>247</v>
      </c>
      <c r="F57" s="14" t="s">
        <v>941</v>
      </c>
      <c r="G57" s="14" t="s">
        <v>941</v>
      </c>
      <c r="H57" s="5"/>
      <c r="I57" s="289"/>
      <c r="J57" s="402" t="s">
        <v>940</v>
      </c>
      <c r="K57" s="402" t="s">
        <v>940</v>
      </c>
      <c r="L57" s="416" t="s">
        <v>248</v>
      </c>
      <c r="M57" s="416" t="s">
        <v>248</v>
      </c>
      <c r="N57" s="140" t="s">
        <v>926</v>
      </c>
      <c r="O57" s="140" t="s">
        <v>926</v>
      </c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">
      <c r="A58" s="14">
        <v>1</v>
      </c>
      <c r="B58" s="260">
        <f t="shared" ref="B58:B65" si="8">$B$21/4*(G29*1000000+F29*9.8/($B$21^2*PI()/4))</f>
        <v>270857.36777052988</v>
      </c>
      <c r="C58" s="260">
        <f t="shared" ref="C58:C65" si="9">G29*$B$21*1000000/2</f>
        <v>506708.91200000001</v>
      </c>
      <c r="D58" s="417">
        <f t="shared" ref="D58:D65" si="10">B58*1000/($B$17*1000000)/$B$20</f>
        <v>1.7460067831750066</v>
      </c>
      <c r="E58" s="417">
        <f t="shared" ref="E58:E65" si="11">C58*1000/($B$17*1000000)/$B$19</f>
        <v>3.2663582487324443</v>
      </c>
      <c r="F58" s="418">
        <f t="shared" ref="F58:F65" si="12">B58/B29/$B$20/1000</f>
        <v>33.857170971316236</v>
      </c>
      <c r="G58" s="418">
        <f t="shared" ref="G58:G65" si="13">C58/B29/$B$19/1000</f>
        <v>63.338614</v>
      </c>
      <c r="H58" s="5"/>
      <c r="I58" s="402">
        <v>1</v>
      </c>
      <c r="J58" s="406">
        <f t="shared" ref="J58:K65" si="14">B58</f>
        <v>270857.36777052988</v>
      </c>
      <c r="K58" s="406">
        <f t="shared" si="14"/>
        <v>506708.91200000001</v>
      </c>
      <c r="L58" s="407">
        <f t="shared" ref="L58:M65" si="15">D58/25.4</f>
        <v>6.8740424534449077E-2</v>
      </c>
      <c r="M58" s="407">
        <f t="shared" si="15"/>
        <v>0.12859678144615924</v>
      </c>
      <c r="N58" s="419">
        <f t="shared" ref="N58:O65" si="16">F58*145.04</f>
        <v>4910.6440776797062</v>
      </c>
      <c r="O58" s="419">
        <f t="shared" si="16"/>
        <v>9186.6325745599988</v>
      </c>
      <c r="P58" s="5"/>
      <c r="Q58" s="5"/>
      <c r="R58" s="5"/>
      <c r="S58" s="5"/>
      <c r="T58" s="5"/>
      <c r="U58" s="5"/>
      <c r="V58" s="5"/>
      <c r="W58" s="5"/>
      <c r="X58" s="5"/>
    </row>
    <row r="59" spans="1:24" x14ac:dyDescent="0.2">
      <c r="A59" s="14">
        <v>2</v>
      </c>
      <c r="B59" s="260">
        <f t="shared" si="8"/>
        <v>187947.48617052991</v>
      </c>
      <c r="C59" s="260">
        <f t="shared" si="9"/>
        <v>343589.87200000003</v>
      </c>
      <c r="D59" s="417">
        <f t="shared" si="10"/>
        <v>1.2115512619632736</v>
      </c>
      <c r="E59" s="417">
        <f t="shared" si="11"/>
        <v>2.2148566682168891</v>
      </c>
      <c r="F59" s="418">
        <f t="shared" si="12"/>
        <v>23.493435771316239</v>
      </c>
      <c r="G59" s="418">
        <f t="shared" si="13"/>
        <v>42.948734000000002</v>
      </c>
      <c r="H59" s="5"/>
      <c r="I59" s="402">
        <v>2</v>
      </c>
      <c r="J59" s="406">
        <f t="shared" si="14"/>
        <v>187947.48617052991</v>
      </c>
      <c r="K59" s="406">
        <f t="shared" si="14"/>
        <v>343589.87200000003</v>
      </c>
      <c r="L59" s="407">
        <f t="shared" si="15"/>
        <v>4.7698868581231242E-2</v>
      </c>
      <c r="M59" s="407">
        <f t="shared" si="15"/>
        <v>8.7199081425861774E-2</v>
      </c>
      <c r="N59" s="419">
        <f t="shared" si="16"/>
        <v>3407.487924271707</v>
      </c>
      <c r="O59" s="419">
        <f t="shared" si="16"/>
        <v>6229.2843793599995</v>
      </c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">
      <c r="A60" s="14">
        <v>3</v>
      </c>
      <c r="B60" s="260">
        <f t="shared" si="8"/>
        <v>104941.64297052989</v>
      </c>
      <c r="C60" s="260">
        <f t="shared" si="9"/>
        <v>180470.83199999997</v>
      </c>
      <c r="D60" s="417">
        <f t="shared" si="10"/>
        <v>0.6764771509531402</v>
      </c>
      <c r="E60" s="417">
        <f t="shared" si="11"/>
        <v>1.163355087701333</v>
      </c>
      <c r="F60" s="418">
        <f t="shared" si="12"/>
        <v>13.117705371316237</v>
      </c>
      <c r="G60" s="418">
        <f t="shared" si="13"/>
        <v>22.558853999999997</v>
      </c>
      <c r="H60" s="5"/>
      <c r="I60" s="402">
        <v>3</v>
      </c>
      <c r="J60" s="406">
        <f t="shared" si="14"/>
        <v>104941.64297052989</v>
      </c>
      <c r="K60" s="406">
        <f t="shared" si="14"/>
        <v>180470.83199999997</v>
      </c>
      <c r="L60" s="407">
        <f t="shared" si="15"/>
        <v>2.6632958698942531E-2</v>
      </c>
      <c r="M60" s="407">
        <f t="shared" si="15"/>
        <v>4.5801381405564293E-2</v>
      </c>
      <c r="N60" s="419">
        <f t="shared" si="16"/>
        <v>1902.591987055707</v>
      </c>
      <c r="O60" s="419">
        <f t="shared" si="16"/>
        <v>3271.9361841599994</v>
      </c>
      <c r="P60" s="5"/>
      <c r="Q60" s="5"/>
      <c r="R60" s="5"/>
      <c r="S60" s="5"/>
      <c r="T60" s="5"/>
      <c r="U60" s="5"/>
      <c r="V60" s="5"/>
      <c r="W60" s="5"/>
      <c r="X60" s="5"/>
    </row>
    <row r="61" spans="1:24" x14ac:dyDescent="0.2">
      <c r="A61" s="14">
        <v>4</v>
      </c>
      <c r="B61" s="260">
        <f t="shared" si="8"/>
        <v>89222.403770529912</v>
      </c>
      <c r="C61" s="260">
        <f t="shared" si="9"/>
        <v>151925</v>
      </c>
      <c r="D61" s="417">
        <f t="shared" si="10"/>
        <v>0.57514744190567368</v>
      </c>
      <c r="E61" s="417">
        <f t="shared" si="11"/>
        <v>0.97934231111111103</v>
      </c>
      <c r="F61" s="418">
        <f t="shared" si="12"/>
        <v>11.152800471316239</v>
      </c>
      <c r="G61" s="418">
        <f t="shared" si="13"/>
        <v>18.990625000000001</v>
      </c>
      <c r="H61" s="5"/>
      <c r="I61" s="402">
        <v>4</v>
      </c>
      <c r="J61" s="406">
        <f t="shared" si="14"/>
        <v>89222.403770529912</v>
      </c>
      <c r="K61" s="406">
        <f t="shared" si="14"/>
        <v>151925</v>
      </c>
      <c r="L61" s="407">
        <f t="shared" si="15"/>
        <v>2.2643600075026523E-2</v>
      </c>
      <c r="M61" s="407">
        <f t="shared" si="15"/>
        <v>3.8556783902012247E-2</v>
      </c>
      <c r="N61" s="419">
        <f t="shared" si="16"/>
        <v>1617.6021803597071</v>
      </c>
      <c r="O61" s="419">
        <f t="shared" si="16"/>
        <v>2754.4002500000001</v>
      </c>
      <c r="P61" s="5"/>
      <c r="Q61" s="5"/>
      <c r="R61" s="5"/>
      <c r="S61" s="5"/>
      <c r="T61" s="5"/>
      <c r="U61" s="5"/>
      <c r="V61" s="5"/>
      <c r="W61" s="5"/>
      <c r="X61" s="5"/>
    </row>
    <row r="62" spans="1:24" x14ac:dyDescent="0.2">
      <c r="A62" s="14">
        <v>5</v>
      </c>
      <c r="B62" s="260">
        <f t="shared" si="8"/>
        <v>88089.680570529905</v>
      </c>
      <c r="C62" s="260">
        <f t="shared" si="9"/>
        <v>151925</v>
      </c>
      <c r="D62" s="417">
        <f t="shared" si="10"/>
        <v>0.56784565644220697</v>
      </c>
      <c r="E62" s="417">
        <f t="shared" si="11"/>
        <v>0.97934231111111103</v>
      </c>
      <c r="F62" s="418" t="e">
        <f t="shared" si="12"/>
        <v>#DIV/0!</v>
      </c>
      <c r="G62" s="418" t="e">
        <f t="shared" si="13"/>
        <v>#DIV/0!</v>
      </c>
      <c r="H62" s="5"/>
      <c r="I62" s="402">
        <v>5</v>
      </c>
      <c r="J62" s="406">
        <f t="shared" si="14"/>
        <v>88089.680570529905</v>
      </c>
      <c r="K62" s="406">
        <f t="shared" si="14"/>
        <v>151925</v>
      </c>
      <c r="L62" s="407">
        <f t="shared" si="15"/>
        <v>2.2356128206386102E-2</v>
      </c>
      <c r="M62" s="407">
        <f t="shared" si="15"/>
        <v>3.8556783902012247E-2</v>
      </c>
      <c r="N62" s="419" t="e">
        <f t="shared" si="16"/>
        <v>#DIV/0!</v>
      </c>
      <c r="O62" s="419" t="e">
        <f t="shared" si="16"/>
        <v>#DIV/0!</v>
      </c>
      <c r="P62" s="5"/>
      <c r="Q62" s="5"/>
      <c r="R62" s="5"/>
      <c r="S62" s="5"/>
      <c r="T62" s="5"/>
      <c r="U62" s="5"/>
      <c r="V62" s="5"/>
      <c r="W62" s="5"/>
      <c r="X62" s="5"/>
    </row>
    <row r="63" spans="1:24" x14ac:dyDescent="0.2">
      <c r="A63" s="14">
        <v>6</v>
      </c>
      <c r="B63" s="260">
        <f t="shared" si="8"/>
        <v>88089.680570529905</v>
      </c>
      <c r="C63" s="260">
        <f t="shared" si="9"/>
        <v>151925</v>
      </c>
      <c r="D63" s="417">
        <f t="shared" si="10"/>
        <v>0.56784565644220697</v>
      </c>
      <c r="E63" s="417">
        <f t="shared" si="11"/>
        <v>0.97934231111111103</v>
      </c>
      <c r="F63" s="418" t="e">
        <f t="shared" si="12"/>
        <v>#DIV/0!</v>
      </c>
      <c r="G63" s="418" t="e">
        <f t="shared" si="13"/>
        <v>#DIV/0!</v>
      </c>
      <c r="H63" s="5"/>
      <c r="I63" s="402">
        <v>6</v>
      </c>
      <c r="J63" s="406">
        <f t="shared" si="14"/>
        <v>88089.680570529905</v>
      </c>
      <c r="K63" s="406">
        <f t="shared" si="14"/>
        <v>151925</v>
      </c>
      <c r="L63" s="407">
        <f t="shared" si="15"/>
        <v>2.2356128206386102E-2</v>
      </c>
      <c r="M63" s="407">
        <f t="shared" si="15"/>
        <v>3.8556783902012247E-2</v>
      </c>
      <c r="N63" s="419" t="e">
        <f t="shared" si="16"/>
        <v>#DIV/0!</v>
      </c>
      <c r="O63" s="419" t="e">
        <f t="shared" si="16"/>
        <v>#DIV/0!</v>
      </c>
      <c r="P63" s="5"/>
      <c r="Q63" s="5"/>
      <c r="R63" s="5"/>
      <c r="S63" s="5"/>
      <c r="T63" s="5"/>
      <c r="U63" s="5"/>
      <c r="V63" s="5"/>
      <c r="W63" s="5"/>
      <c r="X63" s="5"/>
    </row>
    <row r="64" spans="1:24" x14ac:dyDescent="0.2">
      <c r="A64" s="14">
        <v>7</v>
      </c>
      <c r="B64" s="260">
        <f t="shared" si="8"/>
        <v>88089.680570529905</v>
      </c>
      <c r="C64" s="260">
        <f t="shared" si="9"/>
        <v>151925</v>
      </c>
      <c r="D64" s="417">
        <f t="shared" si="10"/>
        <v>0.56784565644220697</v>
      </c>
      <c r="E64" s="417">
        <f t="shared" si="11"/>
        <v>0.97934231111111103</v>
      </c>
      <c r="F64" s="418" t="e">
        <f t="shared" si="12"/>
        <v>#DIV/0!</v>
      </c>
      <c r="G64" s="418" t="e">
        <f t="shared" si="13"/>
        <v>#DIV/0!</v>
      </c>
      <c r="H64" s="5"/>
      <c r="I64" s="402">
        <v>7</v>
      </c>
      <c r="J64" s="406">
        <f t="shared" si="14"/>
        <v>88089.680570529905</v>
      </c>
      <c r="K64" s="406">
        <f t="shared" si="14"/>
        <v>151925</v>
      </c>
      <c r="L64" s="407">
        <f t="shared" si="15"/>
        <v>2.2356128206386102E-2</v>
      </c>
      <c r="M64" s="407">
        <f t="shared" si="15"/>
        <v>3.8556783902012247E-2</v>
      </c>
      <c r="N64" s="419" t="e">
        <f t="shared" si="16"/>
        <v>#DIV/0!</v>
      </c>
      <c r="O64" s="419" t="e">
        <f t="shared" si="16"/>
        <v>#DIV/0!</v>
      </c>
      <c r="P64" s="5"/>
      <c r="Q64" s="5"/>
      <c r="R64" s="5"/>
      <c r="S64" s="5"/>
      <c r="T64" s="5"/>
      <c r="U64" s="5"/>
      <c r="V64" s="5"/>
      <c r="W64" s="5"/>
      <c r="X64" s="5"/>
    </row>
    <row r="65" spans="1:24" x14ac:dyDescent="0.2">
      <c r="A65" s="14">
        <v>8</v>
      </c>
      <c r="B65" s="260">
        <f t="shared" si="8"/>
        <v>88089.680570529905</v>
      </c>
      <c r="C65" s="260">
        <f t="shared" si="9"/>
        <v>151925</v>
      </c>
      <c r="D65" s="417">
        <f t="shared" si="10"/>
        <v>0.56784565644220697</v>
      </c>
      <c r="E65" s="417">
        <f t="shared" si="11"/>
        <v>0.97934231111111103</v>
      </c>
      <c r="F65" s="418" t="e">
        <f t="shared" si="12"/>
        <v>#DIV/0!</v>
      </c>
      <c r="G65" s="418" t="e">
        <f t="shared" si="13"/>
        <v>#DIV/0!</v>
      </c>
      <c r="H65" s="5"/>
      <c r="I65" s="402">
        <v>8</v>
      </c>
      <c r="J65" s="406">
        <f t="shared" si="14"/>
        <v>88089.680570529905</v>
      </c>
      <c r="K65" s="406">
        <f t="shared" si="14"/>
        <v>151925</v>
      </c>
      <c r="L65" s="407">
        <f t="shared" si="15"/>
        <v>2.2356128206386102E-2</v>
      </c>
      <c r="M65" s="407">
        <f t="shared" si="15"/>
        <v>3.8556783902012247E-2</v>
      </c>
      <c r="N65" s="419" t="e">
        <f t="shared" si="16"/>
        <v>#DIV/0!</v>
      </c>
      <c r="O65" s="419" t="e">
        <f t="shared" si="16"/>
        <v>#DIV/0!</v>
      </c>
      <c r="P65" s="5"/>
      <c r="Q65" s="5"/>
      <c r="R65" s="5"/>
      <c r="S65" s="5"/>
      <c r="T65" s="5"/>
      <c r="U65" s="5"/>
      <c r="V65" s="5"/>
      <c r="W65" s="5"/>
      <c r="X65" s="5"/>
    </row>
    <row r="66" spans="1:24" ht="17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8" customHeight="1" x14ac:dyDescent="0.25">
      <c r="A67" s="5"/>
      <c r="B67" s="5"/>
      <c r="C67" s="5"/>
      <c r="D67" s="5"/>
      <c r="E67" s="5"/>
      <c r="F67" s="5"/>
      <c r="G67" s="5"/>
      <c r="H67" s="5"/>
      <c r="I67" s="420" t="s">
        <v>942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8" customHeight="1" x14ac:dyDescent="0.25">
      <c r="A68" s="420" t="s">
        <v>942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2.75" customHeight="1" x14ac:dyDescent="0.25">
      <c r="A69" s="420"/>
      <c r="B69" s="5"/>
      <c r="C69" s="5"/>
      <c r="D69" s="5"/>
      <c r="E69" s="5"/>
      <c r="F69" s="5"/>
      <c r="G69" s="5"/>
      <c r="H69" s="5"/>
      <c r="I69" s="420"/>
      <c r="J69" s="111" t="s">
        <v>256</v>
      </c>
      <c r="K69" s="5"/>
      <c r="L69" s="5"/>
      <c r="M69" s="64" t="s">
        <v>943</v>
      </c>
      <c r="N69" s="5"/>
      <c r="O69" s="5" t="s">
        <v>944</v>
      </c>
      <c r="P69" s="5"/>
      <c r="Q69" s="5"/>
      <c r="R69" s="5"/>
      <c r="S69" s="5"/>
      <c r="T69" s="5"/>
      <c r="U69" s="5"/>
      <c r="V69" s="5"/>
      <c r="W69" s="5"/>
      <c r="X69" s="5"/>
    </row>
    <row r="70" spans="1:24" ht="12.6" customHeight="1" x14ac:dyDescent="0.2">
      <c r="A70" s="5"/>
      <c r="B70" s="111" t="s">
        <v>256</v>
      </c>
      <c r="C70" s="5"/>
      <c r="D70" s="5"/>
      <c r="E70" s="5" t="s">
        <v>945</v>
      </c>
      <c r="F70" s="5"/>
      <c r="G70" s="5" t="s">
        <v>944</v>
      </c>
      <c r="H70" s="5"/>
      <c r="I70" s="5"/>
      <c r="J70" s="298" t="s">
        <v>253</v>
      </c>
      <c r="K70" s="413" t="s">
        <v>946</v>
      </c>
      <c r="L70" s="421"/>
      <c r="M70" s="421" t="s">
        <v>947</v>
      </c>
      <c r="N70" s="421"/>
      <c r="O70" s="421" t="s">
        <v>948</v>
      </c>
      <c r="P70" s="421"/>
      <c r="Q70" s="5"/>
      <c r="R70" s="5"/>
      <c r="S70" s="5"/>
      <c r="T70" s="5"/>
      <c r="U70" s="5"/>
      <c r="V70" s="5"/>
      <c r="W70" s="5"/>
      <c r="X70" s="5"/>
    </row>
    <row r="71" spans="1:24" x14ac:dyDescent="0.2">
      <c r="A71" s="5"/>
      <c r="B71" s="298" t="s">
        <v>253</v>
      </c>
      <c r="C71" s="413" t="s">
        <v>946</v>
      </c>
      <c r="D71" s="421"/>
      <c r="E71" s="421" t="s">
        <v>947</v>
      </c>
      <c r="F71" s="421"/>
      <c r="G71" s="421" t="s">
        <v>948</v>
      </c>
      <c r="H71" s="421"/>
      <c r="I71" s="5"/>
      <c r="J71" s="14">
        <v>1</v>
      </c>
      <c r="K71" s="417">
        <f t="shared" ref="K71:K78" si="17">J29/MAX(L58,M58)</f>
        <v>2.4492108307790517</v>
      </c>
      <c r="L71" s="264" t="str">
        <f t="shared" ref="L71:L78" si="18">IF(J29&gt;0,IF(K71&gt;1,"OK","ERROR"),"N/A")</f>
        <v>OK</v>
      </c>
      <c r="M71" s="422" t="s">
        <v>949</v>
      </c>
      <c r="N71" s="422"/>
      <c r="O71" s="422" t="str">
        <f>IF(O58&gt;$J$18*0.1,"Full Radiographic","Spot Radiographic")</f>
        <v>Full Radiographic</v>
      </c>
      <c r="P71" s="422"/>
      <c r="Q71" s="5"/>
      <c r="R71" s="5"/>
      <c r="S71" s="5"/>
      <c r="T71" s="5"/>
      <c r="U71" s="5"/>
      <c r="V71" s="5"/>
      <c r="W71" s="5"/>
      <c r="X71" s="5"/>
    </row>
    <row r="72" spans="1:24" x14ac:dyDescent="0.2">
      <c r="A72" s="5"/>
      <c r="B72" s="14">
        <v>1</v>
      </c>
      <c r="C72" s="417">
        <f t="shared" ref="C72:C79" si="19">B29/MAX(D58,E58)</f>
        <v>2.4492108307790521</v>
      </c>
      <c r="D72" s="264" t="str">
        <f t="shared" ref="D72:D79" si="20">IF(B29&gt;0,IF(C72&gt;1,"OK","ERROR"),"N/A")</f>
        <v>OK</v>
      </c>
      <c r="E72" s="422" t="s">
        <v>949</v>
      </c>
      <c r="F72" s="422"/>
      <c r="G72" s="422" t="str">
        <f t="shared" ref="G72:G79" si="21">IF(G58&gt;$B$18*0.1,"Full Radiographic","Spot Radiographic")</f>
        <v>Full Radiographic</v>
      </c>
      <c r="H72" s="422"/>
      <c r="I72" s="5"/>
      <c r="J72" s="14">
        <v>2</v>
      </c>
      <c r="K72" s="417">
        <f t="shared" si="17"/>
        <v>3.6119718782708166</v>
      </c>
      <c r="L72" s="264" t="str">
        <f t="shared" si="18"/>
        <v>OK</v>
      </c>
      <c r="M72" s="422" t="str">
        <f t="shared" ref="M72:M78" si="22">E73</f>
        <v>Spot Radiographic</v>
      </c>
      <c r="N72" s="422"/>
      <c r="O72" s="422" t="str">
        <f t="shared" ref="O72:O78" si="23">G73</f>
        <v>Spot Radiographic</v>
      </c>
      <c r="P72" s="422"/>
      <c r="Q72" s="5"/>
      <c r="R72" s="5"/>
      <c r="S72" s="5"/>
      <c r="T72" s="5"/>
      <c r="U72" s="5"/>
      <c r="V72" s="5"/>
      <c r="W72" s="5"/>
      <c r="X72" s="5"/>
    </row>
    <row r="73" spans="1:24" x14ac:dyDescent="0.2">
      <c r="A73" s="5"/>
      <c r="B73" s="14">
        <v>2</v>
      </c>
      <c r="C73" s="417">
        <f t="shared" si="19"/>
        <v>3.6119718782708166</v>
      </c>
      <c r="D73" s="264" t="str">
        <f t="shared" si="20"/>
        <v>OK</v>
      </c>
      <c r="E73" s="422" t="str">
        <f t="shared" ref="E73:E79" si="24">IF(F59&gt;$B$18*0.1,"Full Radiographic","Spot Radiographic")</f>
        <v>Spot Radiographic</v>
      </c>
      <c r="F73" s="422"/>
      <c r="G73" s="422" t="str">
        <f t="shared" si="21"/>
        <v>Spot Radiographic</v>
      </c>
      <c r="H73" s="422"/>
      <c r="I73" s="5"/>
      <c r="J73" s="14">
        <v>3</v>
      </c>
      <c r="K73" s="417">
        <f t="shared" si="17"/>
        <v>6.8766622371568049</v>
      </c>
      <c r="L73" s="264" t="str">
        <f t="shared" si="18"/>
        <v>OK</v>
      </c>
      <c r="M73" s="422" t="str">
        <f t="shared" si="22"/>
        <v>Spot Radiographic</v>
      </c>
      <c r="N73" s="422"/>
      <c r="O73" s="422" t="str">
        <f t="shared" si="23"/>
        <v>Spot Radiographic</v>
      </c>
      <c r="P73" s="422"/>
      <c r="Q73" s="5"/>
      <c r="R73" s="5"/>
      <c r="S73" s="5"/>
      <c r="T73" s="5"/>
      <c r="U73" s="5"/>
      <c r="V73" s="5"/>
      <c r="W73" s="5"/>
      <c r="X73" s="5"/>
    </row>
    <row r="74" spans="1:24" x14ac:dyDescent="0.2">
      <c r="A74" s="5"/>
      <c r="B74" s="14">
        <v>3</v>
      </c>
      <c r="C74" s="417">
        <f t="shared" si="19"/>
        <v>6.8766622371568049</v>
      </c>
      <c r="D74" s="264" t="str">
        <f t="shared" si="20"/>
        <v>OK</v>
      </c>
      <c r="E74" s="422" t="str">
        <f t="shared" si="24"/>
        <v>Spot Radiographic</v>
      </c>
      <c r="F74" s="422"/>
      <c r="G74" s="422" t="str">
        <f t="shared" si="21"/>
        <v>Spot Radiographic</v>
      </c>
      <c r="H74" s="422"/>
      <c r="I74" s="5"/>
      <c r="J74" s="14">
        <v>4</v>
      </c>
      <c r="K74" s="417">
        <f t="shared" si="17"/>
        <v>8.168747443295505</v>
      </c>
      <c r="L74" s="264" t="str">
        <f t="shared" si="18"/>
        <v>OK</v>
      </c>
      <c r="M74" s="422" t="str">
        <f t="shared" si="22"/>
        <v>Spot Radiographic</v>
      </c>
      <c r="N74" s="422"/>
      <c r="O74" s="422" t="str">
        <f t="shared" si="23"/>
        <v>Spot Radiographic</v>
      </c>
      <c r="P74" s="422"/>
      <c r="Q74" s="5"/>
      <c r="R74" s="5"/>
      <c r="S74" s="5"/>
      <c r="T74" s="5"/>
      <c r="U74" s="5"/>
      <c r="V74" s="5"/>
      <c r="W74" s="5"/>
      <c r="X74" s="5"/>
    </row>
    <row r="75" spans="1:24" x14ac:dyDescent="0.2">
      <c r="A75" s="5"/>
      <c r="B75" s="14">
        <v>4</v>
      </c>
      <c r="C75" s="417">
        <f t="shared" si="19"/>
        <v>8.168747443295505</v>
      </c>
      <c r="D75" s="264" t="str">
        <f t="shared" si="20"/>
        <v>OK</v>
      </c>
      <c r="E75" s="422" t="str">
        <f t="shared" si="24"/>
        <v>Spot Radiographic</v>
      </c>
      <c r="F75" s="422"/>
      <c r="G75" s="422" t="str">
        <f t="shared" si="21"/>
        <v>Spot Radiographic</v>
      </c>
      <c r="H75" s="422"/>
      <c r="I75" s="5"/>
      <c r="J75" s="14">
        <v>5</v>
      </c>
      <c r="K75" s="417">
        <f t="shared" si="17"/>
        <v>0</v>
      </c>
      <c r="L75" s="264" t="str">
        <f t="shared" si="18"/>
        <v>N/A</v>
      </c>
      <c r="M75" s="422" t="e">
        <f t="shared" si="22"/>
        <v>#DIV/0!</v>
      </c>
      <c r="N75" s="422"/>
      <c r="O75" s="422" t="e">
        <f t="shared" si="23"/>
        <v>#DIV/0!</v>
      </c>
      <c r="P75" s="422"/>
      <c r="Q75" s="5"/>
      <c r="R75" s="5"/>
      <c r="S75" s="5"/>
      <c r="T75" s="5"/>
      <c r="U75" s="5"/>
      <c r="V75" s="5"/>
      <c r="W75" s="5"/>
      <c r="X75" s="5"/>
    </row>
    <row r="76" spans="1:24" x14ac:dyDescent="0.2">
      <c r="A76" s="5"/>
      <c r="B76" s="14">
        <v>5</v>
      </c>
      <c r="C76" s="417">
        <f t="shared" si="19"/>
        <v>0</v>
      </c>
      <c r="D76" s="264" t="str">
        <f t="shared" si="20"/>
        <v>N/A</v>
      </c>
      <c r="E76" s="422" t="e">
        <f t="shared" si="24"/>
        <v>#DIV/0!</v>
      </c>
      <c r="F76" s="422"/>
      <c r="G76" s="422" t="e">
        <f t="shared" si="21"/>
        <v>#DIV/0!</v>
      </c>
      <c r="H76" s="422"/>
      <c r="I76" s="5"/>
      <c r="J76" s="14">
        <v>6</v>
      </c>
      <c r="K76" s="417">
        <f t="shared" si="17"/>
        <v>0</v>
      </c>
      <c r="L76" s="264" t="str">
        <f t="shared" si="18"/>
        <v>N/A</v>
      </c>
      <c r="M76" s="422" t="e">
        <f t="shared" si="22"/>
        <v>#DIV/0!</v>
      </c>
      <c r="N76" s="422"/>
      <c r="O76" s="422" t="e">
        <f t="shared" si="23"/>
        <v>#DIV/0!</v>
      </c>
      <c r="P76" s="422"/>
      <c r="Q76" s="5"/>
      <c r="R76" s="5"/>
      <c r="S76" s="5"/>
      <c r="T76" s="5"/>
      <c r="U76" s="5"/>
      <c r="V76" s="5"/>
      <c r="W76" s="5"/>
      <c r="X76" s="5"/>
    </row>
    <row r="77" spans="1:24" x14ac:dyDescent="0.2">
      <c r="A77" s="5"/>
      <c r="B77" s="14">
        <v>6</v>
      </c>
      <c r="C77" s="417">
        <f t="shared" si="19"/>
        <v>0</v>
      </c>
      <c r="D77" s="264" t="str">
        <f t="shared" si="20"/>
        <v>N/A</v>
      </c>
      <c r="E77" s="422" t="e">
        <f t="shared" si="24"/>
        <v>#DIV/0!</v>
      </c>
      <c r="F77" s="422"/>
      <c r="G77" s="422" t="e">
        <f t="shared" si="21"/>
        <v>#DIV/0!</v>
      </c>
      <c r="H77" s="422"/>
      <c r="I77" s="5"/>
      <c r="J77" s="14">
        <v>7</v>
      </c>
      <c r="K77" s="417">
        <f t="shared" si="17"/>
        <v>0</v>
      </c>
      <c r="L77" s="264" t="str">
        <f t="shared" si="18"/>
        <v>N/A</v>
      </c>
      <c r="M77" s="422" t="e">
        <f t="shared" si="22"/>
        <v>#DIV/0!</v>
      </c>
      <c r="N77" s="422"/>
      <c r="O77" s="422" t="e">
        <f t="shared" si="23"/>
        <v>#DIV/0!</v>
      </c>
      <c r="P77" s="422"/>
      <c r="Q77" s="5"/>
      <c r="R77" s="5"/>
      <c r="S77" s="5"/>
      <c r="T77" s="5"/>
      <c r="U77" s="5"/>
      <c r="V77" s="5"/>
      <c r="W77" s="5"/>
      <c r="X77" s="5"/>
    </row>
    <row r="78" spans="1:24" x14ac:dyDescent="0.2">
      <c r="A78" s="5"/>
      <c r="B78" s="14">
        <v>7</v>
      </c>
      <c r="C78" s="417">
        <f t="shared" si="19"/>
        <v>0</v>
      </c>
      <c r="D78" s="264" t="str">
        <f t="shared" si="20"/>
        <v>N/A</v>
      </c>
      <c r="E78" s="422" t="e">
        <f t="shared" si="24"/>
        <v>#DIV/0!</v>
      </c>
      <c r="F78" s="422"/>
      <c r="G78" s="422" t="e">
        <f t="shared" si="21"/>
        <v>#DIV/0!</v>
      </c>
      <c r="H78" s="422"/>
      <c r="I78" s="5"/>
      <c r="J78" s="14">
        <v>8</v>
      </c>
      <c r="K78" s="417">
        <f t="shared" si="17"/>
        <v>0</v>
      </c>
      <c r="L78" s="264" t="str">
        <f t="shared" si="18"/>
        <v>N/A</v>
      </c>
      <c r="M78" s="422" t="e">
        <f t="shared" si="22"/>
        <v>#DIV/0!</v>
      </c>
      <c r="N78" s="422"/>
      <c r="O78" s="422" t="e">
        <f t="shared" si="23"/>
        <v>#DIV/0!</v>
      </c>
      <c r="P78" s="422"/>
      <c r="Q78" s="5"/>
      <c r="R78" s="5"/>
      <c r="S78" s="5"/>
      <c r="T78" s="5"/>
      <c r="U78" s="5"/>
      <c r="V78" s="5"/>
      <c r="W78" s="5"/>
      <c r="X78" s="5"/>
    </row>
    <row r="79" spans="1:24" x14ac:dyDescent="0.2">
      <c r="A79" s="5"/>
      <c r="B79" s="14">
        <v>8</v>
      </c>
      <c r="C79" s="417">
        <f t="shared" si="19"/>
        <v>0</v>
      </c>
      <c r="D79" s="264" t="str">
        <f t="shared" si="20"/>
        <v>N/A</v>
      </c>
      <c r="E79" s="422" t="e">
        <f t="shared" si="24"/>
        <v>#DIV/0!</v>
      </c>
      <c r="F79" s="422"/>
      <c r="G79" s="422" t="e">
        <f t="shared" si="21"/>
        <v>#DIV/0!</v>
      </c>
      <c r="H79" s="42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8" customHeight="1" x14ac:dyDescent="0.25">
      <c r="A80" s="5"/>
      <c r="B80" s="14"/>
      <c r="C80" s="417"/>
      <c r="D80" s="14"/>
      <c r="E80" s="5"/>
      <c r="F80" s="5"/>
      <c r="G80" s="5"/>
      <c r="H80" s="5"/>
      <c r="I80" s="420" t="s">
        <v>950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x14ac:dyDescent="0.2">
      <c r="A81" s="5"/>
      <c r="B81" s="14"/>
      <c r="C81" s="417"/>
      <c r="D81" s="1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8" customHeight="1" x14ac:dyDescent="0.25">
      <c r="A82" s="420" t="s">
        <v>950</v>
      </c>
      <c r="B82" s="5"/>
      <c r="C82" s="5"/>
      <c r="D82" s="5"/>
      <c r="E82" s="5"/>
      <c r="F82" s="5"/>
      <c r="G82" s="5"/>
      <c r="H82" s="5"/>
      <c r="I82" s="64" t="s">
        <v>217</v>
      </c>
      <c r="J82" s="417">
        <f>B84/25.4</f>
        <v>30.118110236220474</v>
      </c>
      <c r="K82" s="64" t="s">
        <v>951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x14ac:dyDescent="0.2">
      <c r="A83" s="5"/>
      <c r="B83" s="5"/>
      <c r="C83" s="5"/>
      <c r="D83" s="5"/>
      <c r="E83" s="5"/>
      <c r="F83" s="5"/>
      <c r="G83" s="5"/>
      <c r="H83" s="5"/>
      <c r="I83" s="64" t="s">
        <v>952</v>
      </c>
      <c r="J83" s="417">
        <f>B85/25.4</f>
        <v>0.39370078740157483</v>
      </c>
      <c r="K83" s="64" t="s">
        <v>953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x14ac:dyDescent="0.2">
      <c r="A84" s="64" t="s">
        <v>217</v>
      </c>
      <c r="B84" s="5">
        <v>765</v>
      </c>
      <c r="C84" s="64" t="s">
        <v>954</v>
      </c>
      <c r="D84" s="5"/>
      <c r="E84" s="5"/>
      <c r="F84" s="5"/>
      <c r="G84" s="5"/>
      <c r="H84" s="5"/>
      <c r="I84" s="64" t="s">
        <v>955</v>
      </c>
      <c r="J84" s="417">
        <f>B86/25.4</f>
        <v>45.215575500010893</v>
      </c>
      <c r="K84" s="64" t="s">
        <v>956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x14ac:dyDescent="0.2">
      <c r="A85" s="64" t="s">
        <v>952</v>
      </c>
      <c r="B85" s="5">
        <v>10</v>
      </c>
      <c r="C85" s="64" t="s">
        <v>957</v>
      </c>
      <c r="D85" s="5"/>
      <c r="E85" s="5"/>
      <c r="F85" s="5"/>
      <c r="G85" s="5"/>
      <c r="H85" s="5"/>
      <c r="I85" s="5"/>
      <c r="J85" s="417">
        <f>J82/J84</f>
        <v>0.6661003404946868</v>
      </c>
      <c r="K85" s="264" t="str">
        <f>IF(J85&gt;1,"OK","ERROR")</f>
        <v>ERROR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x14ac:dyDescent="0.2">
      <c r="A86" s="64" t="s">
        <v>955</v>
      </c>
      <c r="B86" s="265">
        <f>390*(B85/25.4)/(SQRT(B22*B13/0.3048/1000))*25.4</f>
        <v>1148.4756177002766</v>
      </c>
      <c r="C86" s="64" t="s">
        <v>958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x14ac:dyDescent="0.2">
      <c r="A87" s="5"/>
      <c r="B87" s="417">
        <f>B84/B86</f>
        <v>0.6661003404946868</v>
      </c>
      <c r="C87" s="264" t="str">
        <f>IF(B87&gt;1,"OK","ERROR")</f>
        <v>ERROR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40.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x14ac:dyDescent="0.2">
      <c r="A96" s="5"/>
      <c r="B96" s="5"/>
      <c r="C96" s="5"/>
      <c r="D96" s="5"/>
      <c r="E96" s="5"/>
      <c r="F96" s="5"/>
      <c r="G96" s="5"/>
      <c r="H96" s="5"/>
      <c r="I96" s="423" t="s">
        <v>959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2.6" customHeight="1" x14ac:dyDescent="0.2">
      <c r="A97" s="5"/>
      <c r="B97" s="5"/>
      <c r="C97" s="5"/>
      <c r="D97" s="5"/>
      <c r="E97" s="5"/>
      <c r="F97" s="5"/>
      <c r="G97" s="5"/>
      <c r="H97" s="5"/>
      <c r="I97" s="424" t="s">
        <v>960</v>
      </c>
      <c r="J97" s="5"/>
      <c r="K97" s="5"/>
      <c r="L97" s="5"/>
      <c r="M97" s="5"/>
      <c r="N97" s="5"/>
      <c r="O97" s="5"/>
      <c r="P97" s="5"/>
      <c r="Q97" s="5"/>
      <c r="R97" s="5"/>
      <c r="S97" s="118" t="s">
        <v>961</v>
      </c>
      <c r="T97" s="392" t="s">
        <v>256</v>
      </c>
      <c r="U97" s="5"/>
      <c r="V97" s="118"/>
      <c r="W97" s="64"/>
      <c r="X97" s="5"/>
    </row>
    <row r="98" spans="1:24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14">
        <v>1</v>
      </c>
      <c r="U98" s="332">
        <f t="shared" ref="U98:U105" si="25">1.35*F118+1.5*T111+1.35*W111</f>
        <v>12486.394792077495</v>
      </c>
      <c r="V98" s="64" t="s">
        <v>926</v>
      </c>
      <c r="W98" s="5"/>
      <c r="X98" s="118" t="s">
        <v>962</v>
      </c>
    </row>
    <row r="99" spans="1:24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14">
        <v>2</v>
      </c>
      <c r="U99" s="332">
        <f t="shared" si="25"/>
        <v>8486.5479890089136</v>
      </c>
      <c r="V99" s="64" t="s">
        <v>926</v>
      </c>
      <c r="W99" s="5"/>
      <c r="X99" s="5">
        <f t="shared" ref="X99:X106" si="26">D109</f>
        <v>59548.515637973695</v>
      </c>
    </row>
    <row r="100" spans="1:24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14">
        <v>3</v>
      </c>
      <c r="U100" s="332">
        <f t="shared" si="25"/>
        <v>4487.1367266614707</v>
      </c>
      <c r="V100" s="64" t="s">
        <v>926</v>
      </c>
      <c r="W100" s="5"/>
      <c r="X100" s="5">
        <f t="shared" si="26"/>
        <v>11773.802139248286</v>
      </c>
    </row>
    <row r="101" spans="1:24" x14ac:dyDescent="0.2">
      <c r="A101" s="5"/>
      <c r="B101" s="5"/>
      <c r="C101" s="263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14">
        <v>4</v>
      </c>
      <c r="U101" s="332">
        <f t="shared" si="25"/>
        <v>3781.4583321907312</v>
      </c>
      <c r="V101" s="64" t="s">
        <v>926</v>
      </c>
      <c r="W101" s="5"/>
      <c r="X101" s="5">
        <f t="shared" si="26"/>
        <v>6210.3669513699651</v>
      </c>
    </row>
    <row r="102" spans="1:24" x14ac:dyDescent="0.2">
      <c r="A102" s="5"/>
      <c r="B102" s="5"/>
      <c r="C102" s="64" t="s">
        <v>940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14">
        <v>5</v>
      </c>
      <c r="U102" s="332" t="e">
        <f t="shared" si="25"/>
        <v>#DIV/0!</v>
      </c>
      <c r="V102" s="64" t="s">
        <v>926</v>
      </c>
      <c r="W102" s="5"/>
      <c r="X102" s="5">
        <f t="shared" si="26"/>
        <v>-0.93839255959775913</v>
      </c>
    </row>
    <row r="103" spans="1:24" ht="38.25" customHeight="1" x14ac:dyDescent="0.2">
      <c r="A103" s="118" t="s">
        <v>963</v>
      </c>
      <c r="B103" s="5">
        <f>(B14*0.1)+(B15*0.1)</f>
        <v>1.525E-2</v>
      </c>
      <c r="C103" s="263">
        <f>B103*$B$21*1000000/2</f>
        <v>157075.00000000003</v>
      </c>
      <c r="D103" s="64" t="s">
        <v>964</v>
      </c>
      <c r="E103" s="5"/>
      <c r="F103" s="5"/>
      <c r="G103" s="5"/>
      <c r="H103" s="5"/>
      <c r="I103" s="5"/>
      <c r="J103" s="118" t="s">
        <v>965</v>
      </c>
      <c r="K103" s="118" t="s">
        <v>966</v>
      </c>
      <c r="L103" s="118" t="s">
        <v>961</v>
      </c>
      <c r="M103" s="425" t="s">
        <v>967</v>
      </c>
      <c r="N103" s="295" t="s">
        <v>968</v>
      </c>
      <c r="O103" s="413" t="s">
        <v>946</v>
      </c>
      <c r="P103" s="5"/>
      <c r="Q103" s="5"/>
      <c r="R103" s="5"/>
      <c r="S103" s="5"/>
      <c r="T103" s="14">
        <v>6</v>
      </c>
      <c r="U103" s="332" t="e">
        <f t="shared" si="25"/>
        <v>#DIV/0!</v>
      </c>
      <c r="V103" s="64" t="s">
        <v>926</v>
      </c>
      <c r="W103" s="5"/>
      <c r="X103" s="5">
        <f t="shared" si="26"/>
        <v>-5129.6462248590205</v>
      </c>
    </row>
    <row r="104" spans="1:24" x14ac:dyDescent="0.2">
      <c r="A104" s="5"/>
      <c r="B104" s="5"/>
      <c r="C104" s="5"/>
      <c r="D104" s="5"/>
      <c r="E104" s="5"/>
      <c r="F104" s="5"/>
      <c r="G104" s="5"/>
      <c r="H104" s="5"/>
      <c r="I104" s="5">
        <v>1</v>
      </c>
      <c r="J104" s="5">
        <f t="shared" ref="J104:J111" si="27">B118</f>
        <v>3398.6236447630877</v>
      </c>
      <c r="K104" s="263">
        <f t="shared" ref="K104:K111" si="28">C58</f>
        <v>506708.91200000001</v>
      </c>
      <c r="L104" s="5">
        <f t="shared" ref="L104:L111" si="29">1.35*J104+1.35*K104</f>
        <v>688645.17312043021</v>
      </c>
      <c r="M104" s="346">
        <f t="shared" ref="M104:M111" si="30">L104*1000/($B$17*1000000)/$B$20</f>
        <v>4.4391598181949865</v>
      </c>
      <c r="N104" s="5">
        <f t="shared" ref="N104:N111" si="31">B29</f>
        <v>8</v>
      </c>
      <c r="O104" s="417">
        <f t="shared" ref="O104:O111" si="32">N104/M104</f>
        <v>1.8021428215334883</v>
      </c>
      <c r="P104" s="264" t="str">
        <f t="shared" ref="P104:P111" si="33">IF(N104/M104&gt;1,"OK","ERROR")</f>
        <v>OK</v>
      </c>
      <c r="Q104" s="5"/>
      <c r="R104" s="5"/>
      <c r="S104" s="5"/>
      <c r="T104" s="14">
        <v>7</v>
      </c>
      <c r="U104" s="332" t="e">
        <f t="shared" si="25"/>
        <v>#DIV/0!</v>
      </c>
      <c r="V104" s="64" t="s">
        <v>926</v>
      </c>
      <c r="W104" s="5"/>
      <c r="X104" s="5">
        <f t="shared" si="26"/>
        <v>-5129.6462248590205</v>
      </c>
    </row>
    <row r="105" spans="1:24" x14ac:dyDescent="0.2">
      <c r="A105" s="5"/>
      <c r="B105" s="5"/>
      <c r="C105" s="5"/>
      <c r="D105" s="5"/>
      <c r="E105" s="5"/>
      <c r="F105" s="5"/>
      <c r="G105" s="5"/>
      <c r="H105" s="5"/>
      <c r="I105" s="5">
        <v>2</v>
      </c>
      <c r="J105" s="5">
        <f t="shared" si="27"/>
        <v>3136.4175088407578</v>
      </c>
      <c r="K105" s="263">
        <f t="shared" si="28"/>
        <v>343589.87200000003</v>
      </c>
      <c r="L105" s="5">
        <f t="shared" si="29"/>
        <v>468080.49083693506</v>
      </c>
      <c r="M105" s="346">
        <f t="shared" si="30"/>
        <v>3.0173508618217357</v>
      </c>
      <c r="N105" s="5">
        <f t="shared" si="31"/>
        <v>8</v>
      </c>
      <c r="O105" s="417">
        <f t="shared" si="32"/>
        <v>2.6513323661571042</v>
      </c>
      <c r="P105" s="264" t="str">
        <f t="shared" si="33"/>
        <v>OK</v>
      </c>
      <c r="Q105" s="5"/>
      <c r="R105" s="5"/>
      <c r="S105" s="5"/>
      <c r="T105" s="14">
        <v>8</v>
      </c>
      <c r="U105" s="332" t="e">
        <f t="shared" si="25"/>
        <v>#DIV/0!</v>
      </c>
      <c r="V105" s="64" t="s">
        <v>926</v>
      </c>
      <c r="W105" s="5"/>
      <c r="X105" s="5">
        <f t="shared" si="26"/>
        <v>-5129.6462248590205</v>
      </c>
    </row>
    <row r="106" spans="1:24" x14ac:dyDescent="0.2">
      <c r="A106" s="5"/>
      <c r="B106" s="5"/>
      <c r="C106" s="5"/>
      <c r="D106" s="5"/>
      <c r="E106" s="5"/>
      <c r="F106" s="5"/>
      <c r="G106" s="5"/>
      <c r="H106" s="5"/>
      <c r="I106" s="5">
        <v>3</v>
      </c>
      <c r="J106" s="5">
        <f t="shared" si="27"/>
        <v>2855.5780525300779</v>
      </c>
      <c r="K106" s="263">
        <f t="shared" si="28"/>
        <v>180470.83199999997</v>
      </c>
      <c r="L106" s="5">
        <f t="shared" si="29"/>
        <v>247490.65357091557</v>
      </c>
      <c r="M106" s="346">
        <f t="shared" si="30"/>
        <v>1.5953797508411374</v>
      </c>
      <c r="N106" s="5">
        <f t="shared" si="31"/>
        <v>8</v>
      </c>
      <c r="O106" s="417">
        <f t="shared" si="32"/>
        <v>5.0144800921424091</v>
      </c>
      <c r="P106" s="264" t="str">
        <f t="shared" si="33"/>
        <v>OK</v>
      </c>
      <c r="Q106" s="5"/>
      <c r="R106" s="5"/>
      <c r="S106" s="5"/>
      <c r="T106" s="5"/>
      <c r="U106" s="5"/>
      <c r="V106" s="5"/>
      <c r="W106" s="5"/>
      <c r="X106" s="5">
        <f t="shared" si="26"/>
        <v>-5129.6462248590205</v>
      </c>
    </row>
    <row r="107" spans="1:24" x14ac:dyDescent="0.2">
      <c r="A107" s="5" t="s">
        <v>969</v>
      </c>
      <c r="B107" s="347">
        <f>'Inner Tank Stiffeners 2'!B54</f>
        <v>4.703775688888889E-3</v>
      </c>
      <c r="C107" s="170" t="str">
        <f>'Inner Tank Stiffeners 2'!C54</f>
        <v>N/mm2</v>
      </c>
      <c r="D107" s="64" t="s">
        <v>970</v>
      </c>
      <c r="E107" s="14"/>
      <c r="F107" s="5"/>
      <c r="G107" s="5"/>
      <c r="H107" s="5"/>
      <c r="I107" s="5">
        <v>4</v>
      </c>
      <c r="J107" s="5">
        <f t="shared" si="27"/>
        <v>2574.738596219398</v>
      </c>
      <c r="K107" s="263">
        <f t="shared" si="28"/>
        <v>151925</v>
      </c>
      <c r="L107" s="5">
        <f t="shared" si="29"/>
        <v>208574.6471048962</v>
      </c>
      <c r="M107" s="346">
        <f t="shared" si="30"/>
        <v>1.3445185251597396</v>
      </c>
      <c r="N107" s="5">
        <f t="shared" si="31"/>
        <v>8</v>
      </c>
      <c r="O107" s="417">
        <f t="shared" si="32"/>
        <v>5.9500853653537691</v>
      </c>
      <c r="P107" s="264" t="str">
        <f t="shared" si="33"/>
        <v>OK</v>
      </c>
      <c r="Q107" s="5"/>
      <c r="R107" s="5"/>
      <c r="S107" s="118" t="s">
        <v>969</v>
      </c>
      <c r="T107" s="347">
        <f>'Inner Tank Stiffeners 2'!R54</f>
        <v>0.68223562591644438</v>
      </c>
      <c r="U107" s="170" t="s">
        <v>926</v>
      </c>
      <c r="V107" s="64" t="s">
        <v>970</v>
      </c>
      <c r="W107" s="14"/>
      <c r="X107" s="5"/>
    </row>
    <row r="108" spans="1:24" x14ac:dyDescent="0.2">
      <c r="A108" s="117" t="s">
        <v>971</v>
      </c>
      <c r="B108" s="5">
        <v>80</v>
      </c>
      <c r="C108" s="5" t="s">
        <v>304</v>
      </c>
      <c r="D108" s="64" t="s">
        <v>972</v>
      </c>
      <c r="E108" s="5"/>
      <c r="F108" s="5"/>
      <c r="G108" s="5"/>
      <c r="H108" s="5"/>
      <c r="I108" s="5">
        <v>5</v>
      </c>
      <c r="J108" s="5">
        <f t="shared" si="27"/>
        <v>2354.7923437922141</v>
      </c>
      <c r="K108" s="263">
        <f t="shared" si="28"/>
        <v>151925</v>
      </c>
      <c r="L108" s="5">
        <f t="shared" si="29"/>
        <v>208277.71966411948</v>
      </c>
      <c r="M108" s="346">
        <f t="shared" si="30"/>
        <v>1.3426044648926172</v>
      </c>
      <c r="N108" s="5">
        <f t="shared" si="31"/>
        <v>0</v>
      </c>
      <c r="O108" s="417">
        <f t="shared" si="32"/>
        <v>0</v>
      </c>
      <c r="P108" s="264" t="str">
        <f t="shared" si="33"/>
        <v>ERROR</v>
      </c>
      <c r="Q108" s="5"/>
      <c r="R108" s="5"/>
      <c r="S108" s="118" t="s">
        <v>971</v>
      </c>
      <c r="T108" s="217">
        <f>'Inner Tank Stiffeners 2'!R22</f>
        <v>4.9942399999999996</v>
      </c>
      <c r="U108" s="64" t="s">
        <v>973</v>
      </c>
      <c r="V108" s="64" t="s">
        <v>972</v>
      </c>
      <c r="W108" s="5"/>
      <c r="X108" s="5"/>
    </row>
    <row r="109" spans="1:24" x14ac:dyDescent="0.2">
      <c r="A109" s="118" t="s">
        <v>974</v>
      </c>
      <c r="B109" s="352">
        <f>'Inner Tank Stiffeners 3'!I71</f>
        <v>5.7814092852401643E-3</v>
      </c>
      <c r="C109" s="14" t="s">
        <v>925</v>
      </c>
      <c r="D109" s="64">
        <f t="shared" ref="D109:D116" si="34">B109*$B$21*1000000/2</f>
        <v>59548.515637973695</v>
      </c>
      <c r="E109" s="64" t="s">
        <v>940</v>
      </c>
      <c r="F109" s="5"/>
      <c r="G109" s="5"/>
      <c r="H109" s="5"/>
      <c r="I109" s="5">
        <v>6</v>
      </c>
      <c r="J109" s="5">
        <f t="shared" si="27"/>
        <v>2354.7923437922141</v>
      </c>
      <c r="K109" s="263">
        <f t="shared" si="28"/>
        <v>151925</v>
      </c>
      <c r="L109" s="5">
        <f t="shared" si="29"/>
        <v>208277.71966411948</v>
      </c>
      <c r="M109" s="346">
        <f t="shared" si="30"/>
        <v>1.3426044648926172</v>
      </c>
      <c r="N109" s="5">
        <f t="shared" si="31"/>
        <v>0</v>
      </c>
      <c r="O109" s="417">
        <f t="shared" si="32"/>
        <v>0</v>
      </c>
      <c r="P109" s="264" t="str">
        <f t="shared" si="33"/>
        <v>ERROR</v>
      </c>
      <c r="Q109" s="5"/>
      <c r="R109" s="5"/>
      <c r="S109" s="118" t="s">
        <v>895</v>
      </c>
      <c r="T109" s="332">
        <f>J15</f>
        <v>3.6249999999999998E-2</v>
      </c>
      <c r="U109" s="64" t="s">
        <v>926</v>
      </c>
      <c r="V109" s="64" t="s">
        <v>975</v>
      </c>
      <c r="W109" s="5"/>
      <c r="X109" s="5"/>
    </row>
    <row r="110" spans="1:24" x14ac:dyDescent="0.2">
      <c r="A110" s="5"/>
      <c r="B110" s="352">
        <f>'Inner Tank Stiffeners 3'!I72</f>
        <v>1.1430875863347851E-3</v>
      </c>
      <c r="C110" s="14" t="s">
        <v>925</v>
      </c>
      <c r="D110" s="64">
        <f t="shared" si="34"/>
        <v>11773.802139248286</v>
      </c>
      <c r="E110" s="64" t="s">
        <v>940</v>
      </c>
      <c r="F110" s="5"/>
      <c r="G110" s="5"/>
      <c r="H110" s="5"/>
      <c r="I110" s="5">
        <v>7</v>
      </c>
      <c r="J110" s="5">
        <f t="shared" si="27"/>
        <v>2354.7923437922141</v>
      </c>
      <c r="K110" s="263">
        <f t="shared" si="28"/>
        <v>151925</v>
      </c>
      <c r="L110" s="5">
        <f t="shared" si="29"/>
        <v>208277.71966411948</v>
      </c>
      <c r="M110" s="346">
        <f t="shared" si="30"/>
        <v>1.3426044648926172</v>
      </c>
      <c r="N110" s="5">
        <f t="shared" si="31"/>
        <v>0</v>
      </c>
      <c r="O110" s="417">
        <f t="shared" si="32"/>
        <v>0</v>
      </c>
      <c r="P110" s="264" t="str">
        <f t="shared" si="33"/>
        <v>ERROR</v>
      </c>
      <c r="Q110" s="5"/>
      <c r="R110" s="5"/>
      <c r="S110" s="118" t="s">
        <v>974</v>
      </c>
      <c r="T110" s="118" t="s">
        <v>976</v>
      </c>
      <c r="U110" s="5"/>
      <c r="V110" s="118" t="s">
        <v>963</v>
      </c>
      <c r="W110" s="118" t="s">
        <v>977</v>
      </c>
      <c r="X110" s="118"/>
    </row>
    <row r="111" spans="1:24" x14ac:dyDescent="0.2">
      <c r="A111" s="5"/>
      <c r="B111" s="352">
        <f>'Inner Tank Stiffeners 3'!I73</f>
        <v>6.0294824770582174E-4</v>
      </c>
      <c r="C111" s="14" t="s">
        <v>925</v>
      </c>
      <c r="D111" s="64">
        <f t="shared" si="34"/>
        <v>6210.3669513699651</v>
      </c>
      <c r="E111" s="64" t="s">
        <v>940</v>
      </c>
      <c r="F111" s="5"/>
      <c r="G111" s="5"/>
      <c r="H111" s="5"/>
      <c r="I111" s="5">
        <v>8</v>
      </c>
      <c r="J111" s="5">
        <f t="shared" si="27"/>
        <v>2354.7923437922141</v>
      </c>
      <c r="K111" s="263">
        <f t="shared" si="28"/>
        <v>151925</v>
      </c>
      <c r="L111" s="5">
        <f t="shared" si="29"/>
        <v>208277.71966411948</v>
      </c>
      <c r="M111" s="346">
        <f t="shared" si="30"/>
        <v>1.3426044648926172</v>
      </c>
      <c r="N111" s="5">
        <f t="shared" si="31"/>
        <v>0</v>
      </c>
      <c r="O111" s="417">
        <f t="shared" si="32"/>
        <v>0</v>
      </c>
      <c r="P111" s="264" t="str">
        <f t="shared" si="33"/>
        <v>ERROR</v>
      </c>
      <c r="Q111" s="5"/>
      <c r="R111" s="5"/>
      <c r="S111" s="118" t="s">
        <v>974</v>
      </c>
      <c r="T111" s="352">
        <f t="shared" ref="T111:T117" si="35">B109*145.04</f>
        <v>0.8385356027312334</v>
      </c>
      <c r="U111" s="64" t="s">
        <v>926</v>
      </c>
      <c r="V111" s="118" t="s">
        <v>978</v>
      </c>
      <c r="W111" s="426">
        <f t="shared" ref="W111:W117" si="36">O58</f>
        <v>9186.6325745599988</v>
      </c>
      <c r="X111" s="64" t="s">
        <v>926</v>
      </c>
    </row>
    <row r="112" spans="1:24" x14ac:dyDescent="0.2">
      <c r="A112" s="5"/>
      <c r="B112" s="352">
        <f>'Inner Tank Stiffeners 3'!I74</f>
        <v>-9.1106073747355257E-8</v>
      </c>
      <c r="C112" s="14" t="s">
        <v>925</v>
      </c>
      <c r="D112" s="64">
        <f t="shared" si="34"/>
        <v>-0.93839255959775913</v>
      </c>
      <c r="E112" s="64" t="s">
        <v>940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352">
        <f t="shared" si="35"/>
        <v>0.16579342352199722</v>
      </c>
      <c r="U112" s="64" t="s">
        <v>926</v>
      </c>
      <c r="V112" s="5"/>
      <c r="W112" s="426">
        <f t="shared" si="36"/>
        <v>6229.2843793599995</v>
      </c>
      <c r="X112" s="64" t="s">
        <v>926</v>
      </c>
    </row>
    <row r="113" spans="1:24" x14ac:dyDescent="0.2">
      <c r="A113" s="5"/>
      <c r="B113" s="352">
        <f>'Inner Tank Stiffeners 3'!I75</f>
        <v>-4.9802390532611843E-4</v>
      </c>
      <c r="C113" s="14" t="s">
        <v>925</v>
      </c>
      <c r="D113" s="64">
        <f t="shared" si="34"/>
        <v>-5129.6462248590205</v>
      </c>
      <c r="E113" s="64" t="s">
        <v>940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352">
        <f t="shared" si="35"/>
        <v>8.7451613847252377E-2</v>
      </c>
      <c r="U113" s="64" t="s">
        <v>926</v>
      </c>
      <c r="V113" s="5"/>
      <c r="W113" s="426">
        <f t="shared" si="36"/>
        <v>3271.9361841599994</v>
      </c>
      <c r="X113" s="64" t="s">
        <v>926</v>
      </c>
    </row>
    <row r="114" spans="1:24" x14ac:dyDescent="0.2">
      <c r="A114" s="5"/>
      <c r="B114" s="352">
        <f>'Inner Tank Stiffeners 3'!I76</f>
        <v>-4.9802390532611843E-4</v>
      </c>
      <c r="C114" s="14" t="s">
        <v>925</v>
      </c>
      <c r="D114" s="64">
        <f t="shared" si="34"/>
        <v>-5129.6462248590205</v>
      </c>
      <c r="E114" s="64" t="s">
        <v>940</v>
      </c>
      <c r="F114" s="5"/>
      <c r="G114" s="5"/>
      <c r="H114" s="5"/>
      <c r="I114" s="5"/>
      <c r="J114" s="366" t="s">
        <v>979</v>
      </c>
      <c r="K114" s="366"/>
      <c r="L114" s="366"/>
      <c r="M114" s="366"/>
      <c r="N114" s="5"/>
      <c r="O114" s="5"/>
      <c r="P114" s="5"/>
      <c r="Q114" s="5"/>
      <c r="R114" s="5"/>
      <c r="S114" s="5"/>
      <c r="T114" s="352">
        <f t="shared" si="35"/>
        <v>-1.3214024936316406E-5</v>
      </c>
      <c r="U114" s="64" t="s">
        <v>926</v>
      </c>
      <c r="V114" s="5"/>
      <c r="W114" s="426">
        <f t="shared" si="36"/>
        <v>2754.4002500000001</v>
      </c>
      <c r="X114" s="64" t="s">
        <v>926</v>
      </c>
    </row>
    <row r="115" spans="1:24" x14ac:dyDescent="0.2">
      <c r="A115" s="5"/>
      <c r="B115" s="352">
        <f>'Inner Tank Stiffeners 3'!I77</f>
        <v>-4.9802390532611843E-4</v>
      </c>
      <c r="C115" s="14" t="s">
        <v>925</v>
      </c>
      <c r="D115" s="64">
        <f t="shared" si="34"/>
        <v>-5129.6462248590205</v>
      </c>
      <c r="E115" s="64" t="s">
        <v>940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352">
        <f t="shared" si="35"/>
        <v>-7.2233387228500215E-2</v>
      </c>
      <c r="U115" s="64" t="s">
        <v>926</v>
      </c>
      <c r="V115" s="5"/>
      <c r="W115" s="426" t="e">
        <f t="shared" si="36"/>
        <v>#DIV/0!</v>
      </c>
      <c r="X115" s="64" t="s">
        <v>926</v>
      </c>
    </row>
    <row r="116" spans="1:24" x14ac:dyDescent="0.2">
      <c r="A116" s="5"/>
      <c r="B116" s="352">
        <f>'Inner Tank Stiffeners 3'!I78</f>
        <v>-4.9802390532611843E-4</v>
      </c>
      <c r="C116" s="14" t="s">
        <v>980</v>
      </c>
      <c r="D116" s="64">
        <f t="shared" si="34"/>
        <v>-5129.6462248590205</v>
      </c>
      <c r="E116" s="64" t="s">
        <v>940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352">
        <f t="shared" si="35"/>
        <v>-7.2233387228500215E-2</v>
      </c>
      <c r="U116" s="64" t="s">
        <v>926</v>
      </c>
      <c r="V116" s="5"/>
      <c r="W116" s="426" t="e">
        <f t="shared" si="36"/>
        <v>#DIV/0!</v>
      </c>
      <c r="X116" s="64" t="s">
        <v>926</v>
      </c>
    </row>
    <row r="117" spans="1:24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352">
        <f t="shared" si="35"/>
        <v>-7.2233387228500215E-2</v>
      </c>
      <c r="U117" s="64" t="s">
        <v>926</v>
      </c>
      <c r="V117" s="5"/>
      <c r="W117" s="426" t="e">
        <f t="shared" si="36"/>
        <v>#DIV/0!</v>
      </c>
      <c r="X117" s="64" t="s">
        <v>926</v>
      </c>
    </row>
    <row r="118" spans="1:24" x14ac:dyDescent="0.2">
      <c r="A118" s="118" t="s">
        <v>981</v>
      </c>
      <c r="B118" s="5">
        <f t="shared" ref="B118:B125" si="37">(F29*9.8/($B$21^2*PI()/4))</f>
        <v>3398.6236447630877</v>
      </c>
      <c r="C118" s="5" t="s">
        <v>940</v>
      </c>
      <c r="D118" s="5">
        <f t="shared" ref="D118:D125" si="38">B118/B29/1000</f>
        <v>0.42482795559538594</v>
      </c>
      <c r="E118" s="64" t="s">
        <v>941</v>
      </c>
      <c r="F118" s="5">
        <f t="shared" ref="F118:F125" si="39">D118*145.04</f>
        <v>61.617046679554775</v>
      </c>
      <c r="G118" s="64" t="s">
        <v>926</v>
      </c>
      <c r="H118" s="5"/>
      <c r="I118" s="423" t="s">
        <v>982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x14ac:dyDescent="0.2">
      <c r="A119" s="5"/>
      <c r="B119" s="5">
        <f t="shared" si="37"/>
        <v>3136.4175088407578</v>
      </c>
      <c r="C119" s="5" t="s">
        <v>940</v>
      </c>
      <c r="D119" s="5">
        <f t="shared" si="38"/>
        <v>0.39205218860509472</v>
      </c>
      <c r="E119" s="64" t="s">
        <v>941</v>
      </c>
      <c r="F119" s="5">
        <f t="shared" si="39"/>
        <v>56.863249435282938</v>
      </c>
      <c r="G119" s="64" t="s">
        <v>926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18" t="s">
        <v>983</v>
      </c>
      <c r="T119" s="352">
        <f>'Design Conditions'!K38</f>
        <v>50</v>
      </c>
      <c r="U119" s="64" t="s">
        <v>984</v>
      </c>
      <c r="V119" s="5"/>
      <c r="W119" s="5"/>
      <c r="X119" s="5"/>
    </row>
    <row r="120" spans="1:24" x14ac:dyDescent="0.2">
      <c r="A120" s="5"/>
      <c r="B120" s="5">
        <f t="shared" si="37"/>
        <v>2855.5780525300779</v>
      </c>
      <c r="C120" s="5" t="s">
        <v>940</v>
      </c>
      <c r="D120" s="5">
        <f t="shared" si="38"/>
        <v>0.35694725656625975</v>
      </c>
      <c r="E120" s="64" t="s">
        <v>941</v>
      </c>
      <c r="F120" s="5">
        <f t="shared" si="39"/>
        <v>51.771630092370309</v>
      </c>
      <c r="G120" s="64" t="s">
        <v>926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x14ac:dyDescent="0.2">
      <c r="A121" s="5"/>
      <c r="B121" s="5">
        <f t="shared" si="37"/>
        <v>2574.738596219398</v>
      </c>
      <c r="C121" s="5" t="s">
        <v>940</v>
      </c>
      <c r="D121" s="5">
        <f t="shared" si="38"/>
        <v>0.32184232452742473</v>
      </c>
      <c r="E121" s="64" t="s">
        <v>941</v>
      </c>
      <c r="F121" s="5">
        <f t="shared" si="39"/>
        <v>46.680010749457679</v>
      </c>
      <c r="G121" s="64" t="s">
        <v>926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38.25" customHeight="1" x14ac:dyDescent="0.2">
      <c r="A122" s="5"/>
      <c r="B122" s="5">
        <f t="shared" si="37"/>
        <v>2354.7923437922141</v>
      </c>
      <c r="C122" s="5" t="s">
        <v>940</v>
      </c>
      <c r="D122" s="5" t="e">
        <f t="shared" si="38"/>
        <v>#DIV/0!</v>
      </c>
      <c r="E122" s="64" t="s">
        <v>941</v>
      </c>
      <c r="F122" s="5" t="e">
        <f t="shared" si="39"/>
        <v>#DIV/0!</v>
      </c>
      <c r="G122" s="64" t="s">
        <v>926</v>
      </c>
      <c r="H122" s="5"/>
      <c r="I122" s="5"/>
      <c r="J122" s="118" t="s">
        <v>961</v>
      </c>
      <c r="K122" s="425" t="s">
        <v>967</v>
      </c>
      <c r="L122" s="118" t="s">
        <v>968</v>
      </c>
      <c r="M122" s="118"/>
      <c r="N122" s="413" t="s">
        <v>946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x14ac:dyDescent="0.2">
      <c r="A123" s="5"/>
      <c r="B123" s="5">
        <f t="shared" si="37"/>
        <v>2354.7923437922141</v>
      </c>
      <c r="C123" s="5" t="s">
        <v>940</v>
      </c>
      <c r="D123" s="5" t="e">
        <f t="shared" si="38"/>
        <v>#DIV/0!</v>
      </c>
      <c r="E123" s="64" t="s">
        <v>941</v>
      </c>
      <c r="F123" s="5" t="e">
        <f t="shared" si="39"/>
        <v>#DIV/0!</v>
      </c>
      <c r="G123" s="64" t="s">
        <v>926</v>
      </c>
      <c r="H123" s="5"/>
      <c r="I123" s="5">
        <v>1</v>
      </c>
      <c r="J123" s="263">
        <f t="shared" ref="J123:J130" si="40">1.35*K104</f>
        <v>684057.03120000008</v>
      </c>
      <c r="K123" s="265">
        <f t="shared" ref="K123:K130" si="41">J123*1000/($B$17*1000000)/$B$20</f>
        <v>4.4095836357887999</v>
      </c>
      <c r="L123" s="5">
        <f t="shared" ref="L123:L130" si="42">N104</f>
        <v>8</v>
      </c>
      <c r="M123" s="5"/>
      <c r="N123" s="417">
        <f t="shared" ref="N123:N130" si="43">L123/K123</f>
        <v>1.8142302450215202</v>
      </c>
      <c r="O123" s="264" t="str">
        <f t="shared" ref="O123:O130" si="44">IF(L123/K123&gt;1,"OK","ERROR")</f>
        <v>OK</v>
      </c>
      <c r="P123" s="5"/>
      <c r="Q123" s="5"/>
      <c r="R123" s="5"/>
      <c r="S123" s="5"/>
      <c r="T123" s="5"/>
      <c r="U123" s="5"/>
      <c r="V123" s="5"/>
      <c r="W123" s="5"/>
      <c r="X123" s="5"/>
    </row>
    <row r="124" spans="1:24" x14ac:dyDescent="0.2">
      <c r="A124" s="5"/>
      <c r="B124" s="5">
        <f t="shared" si="37"/>
        <v>2354.7923437922141</v>
      </c>
      <c r="C124" s="5" t="s">
        <v>940</v>
      </c>
      <c r="D124" s="5" t="e">
        <f t="shared" si="38"/>
        <v>#DIV/0!</v>
      </c>
      <c r="E124" s="64" t="s">
        <v>941</v>
      </c>
      <c r="F124" s="5" t="e">
        <f t="shared" si="39"/>
        <v>#DIV/0!</v>
      </c>
      <c r="G124" s="64" t="s">
        <v>926</v>
      </c>
      <c r="H124" s="5"/>
      <c r="I124" s="5">
        <v>2</v>
      </c>
      <c r="J124" s="263">
        <f t="shared" si="40"/>
        <v>463846.32720000006</v>
      </c>
      <c r="K124" s="265">
        <f t="shared" si="41"/>
        <v>2.9900565020927998</v>
      </c>
      <c r="L124" s="5">
        <f t="shared" si="42"/>
        <v>8</v>
      </c>
      <c r="M124" s="5"/>
      <c r="N124" s="417">
        <f t="shared" si="43"/>
        <v>2.6755347246450496</v>
      </c>
      <c r="O124" s="264" t="str">
        <f t="shared" si="44"/>
        <v>OK</v>
      </c>
      <c r="P124" s="5"/>
      <c r="Q124" s="5"/>
      <c r="R124" s="5"/>
      <c r="S124" s="5"/>
      <c r="T124" s="5"/>
      <c r="U124" s="5"/>
      <c r="V124" s="5"/>
      <c r="W124" s="5"/>
      <c r="X124" s="5"/>
    </row>
    <row r="125" spans="1:24" x14ac:dyDescent="0.2">
      <c r="A125" s="5"/>
      <c r="B125" s="5">
        <f t="shared" si="37"/>
        <v>2354.7923437922141</v>
      </c>
      <c r="C125" s="5" t="s">
        <v>940</v>
      </c>
      <c r="D125" s="5" t="e">
        <f t="shared" si="38"/>
        <v>#DIV/0!</v>
      </c>
      <c r="E125" s="64" t="s">
        <v>941</v>
      </c>
      <c r="F125" s="5" t="e">
        <f t="shared" si="39"/>
        <v>#DIV/0!</v>
      </c>
      <c r="G125" s="64" t="s">
        <v>926</v>
      </c>
      <c r="H125" s="5"/>
      <c r="I125" s="5">
        <v>3</v>
      </c>
      <c r="J125" s="263">
        <f t="shared" si="40"/>
        <v>243635.62319999997</v>
      </c>
      <c r="K125" s="265">
        <f t="shared" si="41"/>
        <v>1.5705293683967996</v>
      </c>
      <c r="L125" s="5">
        <f t="shared" si="42"/>
        <v>8</v>
      </c>
      <c r="M125" s="5"/>
      <c r="N125" s="417">
        <f t="shared" si="43"/>
        <v>5.0938238793754111</v>
      </c>
      <c r="O125" s="264" t="str">
        <f t="shared" si="44"/>
        <v>OK</v>
      </c>
      <c r="P125" s="5"/>
      <c r="Q125" s="5"/>
      <c r="R125" s="5"/>
      <c r="S125" s="5"/>
      <c r="T125" s="118" t="s">
        <v>961</v>
      </c>
      <c r="U125" s="5"/>
      <c r="V125" s="5"/>
      <c r="W125" s="5"/>
      <c r="X125" s="5"/>
    </row>
    <row r="126" spans="1:24" ht="13.5" customHeight="1" x14ac:dyDescent="0.2">
      <c r="A126" s="5"/>
      <c r="B126" s="5"/>
      <c r="C126" s="5"/>
      <c r="D126" s="5"/>
      <c r="E126" s="5"/>
      <c r="F126" s="5"/>
      <c r="G126" s="5"/>
      <c r="H126" s="5"/>
      <c r="I126" s="5">
        <v>4</v>
      </c>
      <c r="J126" s="263">
        <f t="shared" si="40"/>
        <v>205098.75</v>
      </c>
      <c r="K126" s="265">
        <f t="shared" si="41"/>
        <v>1.3221121199999999</v>
      </c>
      <c r="L126" s="5">
        <f t="shared" si="42"/>
        <v>8</v>
      </c>
      <c r="M126" s="5"/>
      <c r="N126" s="417">
        <f t="shared" si="43"/>
        <v>6.0509240320707454</v>
      </c>
      <c r="O126" s="264" t="str">
        <f t="shared" si="44"/>
        <v>OK</v>
      </c>
      <c r="P126" s="5"/>
      <c r="Q126" s="5"/>
      <c r="R126" s="5"/>
      <c r="S126" s="5"/>
      <c r="T126" s="5"/>
      <c r="U126" s="392" t="s">
        <v>256</v>
      </c>
      <c r="V126" s="5"/>
      <c r="W126" s="5"/>
      <c r="X126" s="5"/>
    </row>
    <row r="127" spans="1:24" x14ac:dyDescent="0.2">
      <c r="A127" s="5"/>
      <c r="B127" s="5"/>
      <c r="C127" s="5"/>
      <c r="D127" s="5"/>
      <c r="E127" s="5"/>
      <c r="F127" s="5"/>
      <c r="G127" s="5"/>
      <c r="H127" s="5"/>
      <c r="I127" s="5">
        <v>5</v>
      </c>
      <c r="J127" s="263">
        <f t="shared" si="40"/>
        <v>205098.75</v>
      </c>
      <c r="K127" s="265">
        <f t="shared" si="41"/>
        <v>1.3221121199999999</v>
      </c>
      <c r="L127" s="5">
        <f t="shared" si="42"/>
        <v>0</v>
      </c>
      <c r="M127" s="5"/>
      <c r="N127" s="417">
        <f t="shared" si="43"/>
        <v>0</v>
      </c>
      <c r="O127" s="264" t="str">
        <f t="shared" si="44"/>
        <v>ERROR</v>
      </c>
      <c r="P127" s="5"/>
      <c r="Q127" s="5"/>
      <c r="R127" s="5"/>
      <c r="S127" s="5"/>
      <c r="T127" s="5"/>
      <c r="U127" s="14">
        <v>1</v>
      </c>
      <c r="V127" s="5">
        <f t="shared" ref="V127:V133" si="45">1.35*$T$109+1.5*T111</f>
        <v>1.3067409040968503</v>
      </c>
      <c r="W127" s="5"/>
      <c r="X127" s="5"/>
    </row>
    <row r="128" spans="1:24" x14ac:dyDescent="0.2">
      <c r="A128" s="5"/>
      <c r="B128" s="5"/>
      <c r="C128" s="5"/>
      <c r="D128" s="5"/>
      <c r="E128" s="5"/>
      <c r="F128" s="5"/>
      <c r="G128" s="5"/>
      <c r="H128" s="5"/>
      <c r="I128" s="5">
        <v>6</v>
      </c>
      <c r="J128" s="263">
        <f t="shared" si="40"/>
        <v>205098.75</v>
      </c>
      <c r="K128" s="265">
        <f t="shared" si="41"/>
        <v>1.3221121199999999</v>
      </c>
      <c r="L128" s="5">
        <f t="shared" si="42"/>
        <v>0</v>
      </c>
      <c r="M128" s="5"/>
      <c r="N128" s="417">
        <f t="shared" si="43"/>
        <v>0</v>
      </c>
      <c r="O128" s="264" t="str">
        <f t="shared" si="44"/>
        <v>ERROR</v>
      </c>
      <c r="P128" s="5"/>
      <c r="Q128" s="5"/>
      <c r="R128" s="5"/>
      <c r="S128" s="5"/>
      <c r="T128" s="5"/>
      <c r="U128" s="14">
        <v>2</v>
      </c>
      <c r="V128" s="5">
        <f t="shared" si="45"/>
        <v>0.29762763528299585</v>
      </c>
      <c r="W128" s="5"/>
      <c r="X128" s="5"/>
    </row>
    <row r="129" spans="1:24" x14ac:dyDescent="0.2">
      <c r="A129" s="5"/>
      <c r="B129" s="5"/>
      <c r="C129" s="5"/>
      <c r="D129" s="5"/>
      <c r="E129" s="5"/>
      <c r="F129" s="5"/>
      <c r="G129" s="5"/>
      <c r="H129" s="5"/>
      <c r="I129" s="5">
        <v>7</v>
      </c>
      <c r="J129" s="263">
        <f t="shared" si="40"/>
        <v>205098.75</v>
      </c>
      <c r="K129" s="265">
        <f t="shared" si="41"/>
        <v>1.3221121199999999</v>
      </c>
      <c r="L129" s="5">
        <f t="shared" si="42"/>
        <v>0</v>
      </c>
      <c r="M129" s="5"/>
      <c r="N129" s="417">
        <f t="shared" si="43"/>
        <v>0</v>
      </c>
      <c r="O129" s="264" t="str">
        <f t="shared" si="44"/>
        <v>ERROR</v>
      </c>
      <c r="P129" s="5"/>
      <c r="Q129" s="5"/>
      <c r="R129" s="5"/>
      <c r="S129" s="5"/>
      <c r="T129" s="5"/>
      <c r="U129" s="14">
        <v>3</v>
      </c>
      <c r="V129" s="5">
        <f t="shared" si="45"/>
        <v>0.18011492077087857</v>
      </c>
      <c r="W129" s="5"/>
      <c r="X129" s="5"/>
    </row>
    <row r="130" spans="1:24" x14ac:dyDescent="0.2">
      <c r="A130" s="5"/>
      <c r="B130" s="5"/>
      <c r="C130" s="5"/>
      <c r="D130" s="5"/>
      <c r="E130" s="5"/>
      <c r="F130" s="5"/>
      <c r="G130" s="5"/>
      <c r="H130" s="5"/>
      <c r="I130" s="5">
        <v>8</v>
      </c>
      <c r="J130" s="263">
        <f t="shared" si="40"/>
        <v>205098.75</v>
      </c>
      <c r="K130" s="265">
        <f t="shared" si="41"/>
        <v>1.3221121199999999</v>
      </c>
      <c r="L130" s="5">
        <f t="shared" si="42"/>
        <v>0</v>
      </c>
      <c r="M130" s="5"/>
      <c r="N130" s="417">
        <f t="shared" si="43"/>
        <v>0</v>
      </c>
      <c r="O130" s="264" t="str">
        <f t="shared" si="44"/>
        <v>ERROR</v>
      </c>
      <c r="P130" s="5"/>
      <c r="Q130" s="5"/>
      <c r="R130" s="5"/>
      <c r="S130" s="5"/>
      <c r="T130" s="5"/>
      <c r="U130" s="14">
        <v>4</v>
      </c>
      <c r="V130" s="5">
        <f t="shared" si="45"/>
        <v>4.891767896259553E-2</v>
      </c>
      <c r="W130" s="5"/>
      <c r="X130" s="5"/>
    </row>
    <row r="131" spans="1:24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14">
        <v>5</v>
      </c>
      <c r="V131" s="5">
        <f t="shared" si="45"/>
        <v>-5.9412580842750327E-2</v>
      </c>
      <c r="W131" s="5"/>
      <c r="X131" s="5"/>
    </row>
    <row r="132" spans="1:24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366" t="s">
        <v>985</v>
      </c>
      <c r="K132" s="366"/>
      <c r="L132" s="366"/>
      <c r="M132" s="366"/>
      <c r="N132" s="5"/>
      <c r="O132" s="5"/>
      <c r="P132" s="5"/>
      <c r="Q132" s="5"/>
      <c r="R132" s="5"/>
      <c r="S132" s="5"/>
      <c r="T132" s="5"/>
      <c r="U132" s="14">
        <v>6</v>
      </c>
      <c r="V132" s="5">
        <f t="shared" si="45"/>
        <v>-5.9412580842750327E-2</v>
      </c>
      <c r="W132" s="5"/>
      <c r="X132" s="5"/>
    </row>
    <row r="133" spans="1:24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14">
        <v>7</v>
      </c>
      <c r="V133" s="5">
        <f t="shared" si="45"/>
        <v>-5.9412580842750327E-2</v>
      </c>
      <c r="W133" s="5"/>
      <c r="X133" s="5"/>
    </row>
    <row r="134" spans="1:24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14">
        <v>8</v>
      </c>
      <c r="V134" s="5" t="e">
        <f>1.35*$T$109+1.5*#REF!</f>
        <v>#REF!</v>
      </c>
      <c r="W134" s="5"/>
      <c r="X134" s="5"/>
    </row>
    <row r="135" spans="1:24" x14ac:dyDescent="0.2">
      <c r="A135" s="5"/>
      <c r="B135" s="5"/>
      <c r="C135" s="5"/>
      <c r="D135" s="5"/>
      <c r="E135" s="5"/>
      <c r="F135" s="5"/>
      <c r="G135" s="5"/>
      <c r="H135" s="5"/>
      <c r="I135" s="423" t="s">
        <v>986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366" t="s">
        <v>979</v>
      </c>
      <c r="K146" s="366"/>
      <c r="L146" s="366"/>
      <c r="M146" s="366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38.2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118" t="s">
        <v>987</v>
      </c>
      <c r="K153" s="425" t="s">
        <v>967</v>
      </c>
      <c r="L153" s="118" t="s">
        <v>968</v>
      </c>
      <c r="M153" s="5"/>
      <c r="N153" s="413" t="s">
        <v>946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x14ac:dyDescent="0.2">
      <c r="A154" s="5"/>
      <c r="B154" s="5"/>
      <c r="C154" s="5"/>
      <c r="D154" s="5"/>
      <c r="E154" s="5"/>
      <c r="F154" s="5"/>
      <c r="G154" s="5"/>
      <c r="H154" s="5"/>
      <c r="I154" s="5">
        <v>1</v>
      </c>
      <c r="J154" s="5">
        <f t="shared" ref="J154:J161" si="46">1.35*J104</f>
        <v>4588.1419204301683</v>
      </c>
      <c r="K154" s="265">
        <f t="shared" ref="K154:K161" si="47">J123*1000/($B$17*1000000)/$B$20</f>
        <v>4.4095836357887999</v>
      </c>
      <c r="L154" s="5">
        <f t="shared" ref="L154:L161" si="48">L123</f>
        <v>8</v>
      </c>
      <c r="M154" s="5"/>
      <c r="N154" s="417">
        <f t="shared" ref="N154:N161" si="49">N104/K154</f>
        <v>1.8142302450215202</v>
      </c>
      <c r="O154" s="264" t="str">
        <f t="shared" ref="O154:O161" si="50">IF(L154/K154&gt;1,"OK","ERROR")</f>
        <v>OK</v>
      </c>
      <c r="P154" s="5"/>
      <c r="Q154" s="5"/>
      <c r="R154" s="5"/>
      <c r="S154" s="5"/>
      <c r="T154" s="5"/>
      <c r="U154" s="5"/>
      <c r="V154" s="5"/>
      <c r="W154" s="5"/>
      <c r="X154" s="5"/>
    </row>
    <row r="155" spans="1:24" x14ac:dyDescent="0.2">
      <c r="A155" s="5"/>
      <c r="B155" s="5"/>
      <c r="C155" s="5"/>
      <c r="D155" s="5"/>
      <c r="E155" s="5"/>
      <c r="F155" s="5"/>
      <c r="G155" s="5"/>
      <c r="H155" s="5"/>
      <c r="I155" s="5">
        <v>2</v>
      </c>
      <c r="J155" s="5">
        <f t="shared" si="46"/>
        <v>4234.1636369350235</v>
      </c>
      <c r="K155" s="265">
        <f t="shared" si="47"/>
        <v>2.9900565020927998</v>
      </c>
      <c r="L155" s="5">
        <f t="shared" si="48"/>
        <v>8</v>
      </c>
      <c r="M155" s="5"/>
      <c r="N155" s="417">
        <f t="shared" si="49"/>
        <v>2.6755347246450496</v>
      </c>
      <c r="O155" s="264" t="str">
        <f t="shared" si="50"/>
        <v>OK</v>
      </c>
      <c r="P155" s="5"/>
      <c r="Q155" s="5"/>
      <c r="R155" s="5"/>
      <c r="S155" s="5"/>
      <c r="T155" s="5"/>
      <c r="U155" s="5"/>
      <c r="V155" s="5"/>
      <c r="W155" s="5"/>
      <c r="X155" s="5"/>
    </row>
    <row r="156" spans="1:24" x14ac:dyDescent="0.2">
      <c r="A156" s="5"/>
      <c r="B156" s="5"/>
      <c r="C156" s="5"/>
      <c r="D156" s="5"/>
      <c r="E156" s="5"/>
      <c r="F156" s="5"/>
      <c r="G156" s="5"/>
      <c r="H156" s="5"/>
      <c r="I156" s="5">
        <v>3</v>
      </c>
      <c r="J156" s="5">
        <f t="shared" si="46"/>
        <v>3855.0303709156055</v>
      </c>
      <c r="K156" s="265">
        <f t="shared" si="47"/>
        <v>1.5705293683967996</v>
      </c>
      <c r="L156" s="5">
        <f t="shared" si="48"/>
        <v>8</v>
      </c>
      <c r="M156" s="5"/>
      <c r="N156" s="417">
        <f t="shared" si="49"/>
        <v>5.0938238793754111</v>
      </c>
      <c r="O156" s="264" t="str">
        <f t="shared" si="50"/>
        <v>OK</v>
      </c>
      <c r="P156" s="5"/>
      <c r="Q156" s="5"/>
      <c r="R156" s="5"/>
      <c r="S156" s="5"/>
      <c r="T156" s="5"/>
      <c r="U156" s="5"/>
      <c r="V156" s="5"/>
      <c r="W156" s="5"/>
      <c r="X156" s="5"/>
    </row>
    <row r="157" spans="1:24" x14ac:dyDescent="0.2">
      <c r="A157" s="5"/>
      <c r="B157" s="5"/>
      <c r="C157" s="5"/>
      <c r="D157" s="5"/>
      <c r="E157" s="5"/>
      <c r="F157" s="5"/>
      <c r="G157" s="5"/>
      <c r="H157" s="5"/>
      <c r="I157" s="5">
        <v>4</v>
      </c>
      <c r="J157" s="5">
        <f t="shared" si="46"/>
        <v>3475.8971048961876</v>
      </c>
      <c r="K157" s="265">
        <f t="shared" si="47"/>
        <v>1.3221121199999999</v>
      </c>
      <c r="L157" s="5">
        <f t="shared" si="48"/>
        <v>8</v>
      </c>
      <c r="M157" s="5"/>
      <c r="N157" s="417">
        <f t="shared" si="49"/>
        <v>6.0509240320707454</v>
      </c>
      <c r="O157" s="264" t="str">
        <f t="shared" si="50"/>
        <v>OK</v>
      </c>
      <c r="P157" s="5"/>
      <c r="Q157" s="5"/>
      <c r="R157" s="5"/>
      <c r="S157" s="5"/>
      <c r="T157" s="5"/>
      <c r="U157" s="5"/>
      <c r="V157" s="5"/>
      <c r="W157" s="5"/>
      <c r="X157" s="5"/>
    </row>
    <row r="158" spans="1:24" x14ac:dyDescent="0.2">
      <c r="A158" s="5"/>
      <c r="B158" s="5"/>
      <c r="C158" s="5"/>
      <c r="D158" s="5"/>
      <c r="E158" s="5"/>
      <c r="F158" s="5"/>
      <c r="G158" s="5"/>
      <c r="H158" s="5"/>
      <c r="I158" s="5">
        <v>5</v>
      </c>
      <c r="J158" s="5">
        <f t="shared" si="46"/>
        <v>3178.9696641194892</v>
      </c>
      <c r="K158" s="265">
        <f t="shared" si="47"/>
        <v>1.3221121199999999</v>
      </c>
      <c r="L158" s="5">
        <f t="shared" si="48"/>
        <v>0</v>
      </c>
      <c r="M158" s="5"/>
      <c r="N158" s="417">
        <f t="shared" si="49"/>
        <v>0</v>
      </c>
      <c r="O158" s="264" t="str">
        <f t="shared" si="50"/>
        <v>ERROR</v>
      </c>
      <c r="P158" s="5"/>
      <c r="Q158" s="5"/>
      <c r="R158" s="5"/>
      <c r="S158" s="5"/>
      <c r="T158" s="5"/>
      <c r="U158" s="5"/>
      <c r="V158" s="5"/>
      <c r="W158" s="5"/>
      <c r="X158" s="5"/>
    </row>
    <row r="159" spans="1:24" x14ac:dyDescent="0.2">
      <c r="A159" s="5"/>
      <c r="B159" s="5"/>
      <c r="C159" s="5"/>
      <c r="D159" s="5"/>
      <c r="E159" s="5"/>
      <c r="F159" s="5"/>
      <c r="G159" s="5"/>
      <c r="H159" s="5"/>
      <c r="I159" s="5">
        <v>6</v>
      </c>
      <c r="J159" s="5">
        <f t="shared" si="46"/>
        <v>3178.9696641194892</v>
      </c>
      <c r="K159" s="265">
        <f t="shared" si="47"/>
        <v>1.3221121199999999</v>
      </c>
      <c r="L159" s="5">
        <f t="shared" si="48"/>
        <v>0</v>
      </c>
      <c r="M159" s="5"/>
      <c r="N159" s="417">
        <f t="shared" si="49"/>
        <v>0</v>
      </c>
      <c r="O159" s="264" t="str">
        <f t="shared" si="50"/>
        <v>ERROR</v>
      </c>
      <c r="P159" s="5"/>
      <c r="Q159" s="5"/>
      <c r="R159" s="5"/>
      <c r="S159" s="5"/>
      <c r="T159" s="5"/>
      <c r="U159" s="5"/>
      <c r="V159" s="5"/>
      <c r="W159" s="5"/>
      <c r="X159" s="5"/>
    </row>
    <row r="160" spans="1:24" x14ac:dyDescent="0.2">
      <c r="A160" s="5"/>
      <c r="B160" s="5"/>
      <c r="C160" s="5"/>
      <c r="D160" s="5"/>
      <c r="E160" s="5"/>
      <c r="F160" s="5"/>
      <c r="G160" s="5"/>
      <c r="H160" s="5"/>
      <c r="I160" s="5">
        <v>7</v>
      </c>
      <c r="J160" s="5">
        <f t="shared" si="46"/>
        <v>3178.9696641194892</v>
      </c>
      <c r="K160" s="265">
        <f t="shared" si="47"/>
        <v>1.3221121199999999</v>
      </c>
      <c r="L160" s="5">
        <f t="shared" si="48"/>
        <v>0</v>
      </c>
      <c r="M160" s="5"/>
      <c r="N160" s="417">
        <f t="shared" si="49"/>
        <v>0</v>
      </c>
      <c r="O160" s="264" t="str">
        <f t="shared" si="50"/>
        <v>ERROR</v>
      </c>
      <c r="P160" s="5"/>
      <c r="Q160" s="5"/>
      <c r="R160" s="5"/>
      <c r="S160" s="5"/>
      <c r="T160" s="5"/>
      <c r="U160" s="5"/>
      <c r="V160" s="5"/>
      <c r="W160" s="5"/>
      <c r="X160" s="5"/>
    </row>
    <row r="161" spans="1:24" x14ac:dyDescent="0.2">
      <c r="A161" s="5"/>
      <c r="B161" s="5"/>
      <c r="C161" s="5"/>
      <c r="D161" s="5"/>
      <c r="E161" s="5"/>
      <c r="F161" s="5"/>
      <c r="G161" s="5"/>
      <c r="H161" s="5"/>
      <c r="I161" s="5">
        <v>8</v>
      </c>
      <c r="J161" s="5">
        <f t="shared" si="46"/>
        <v>3178.9696641194892</v>
      </c>
      <c r="K161" s="265">
        <f t="shared" si="47"/>
        <v>1.3221121199999999</v>
      </c>
      <c r="L161" s="5">
        <f t="shared" si="48"/>
        <v>0</v>
      </c>
      <c r="M161" s="5"/>
      <c r="N161" s="417">
        <f t="shared" si="49"/>
        <v>0</v>
      </c>
      <c r="O161" s="264" t="str">
        <f t="shared" si="50"/>
        <v>ERROR</v>
      </c>
      <c r="P161" s="5"/>
      <c r="Q161" s="5"/>
      <c r="R161" s="5"/>
      <c r="S161" s="5"/>
      <c r="T161" s="5"/>
      <c r="U161" s="5"/>
      <c r="V161" s="5"/>
      <c r="W161" s="5"/>
      <c r="X161" s="5"/>
    </row>
    <row r="162" spans="1:24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x14ac:dyDescent="0.2">
      <c r="A166" s="5"/>
      <c r="B166" s="5"/>
      <c r="C166" s="5"/>
      <c r="D166" s="5"/>
      <c r="E166" s="5"/>
      <c r="F166" s="5"/>
      <c r="G166" s="5"/>
      <c r="H166" s="5"/>
      <c r="I166" s="118" t="s">
        <v>988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38.2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118" t="s">
        <v>989</v>
      </c>
      <c r="K169" s="425" t="s">
        <v>967</v>
      </c>
      <c r="L169" s="118" t="s">
        <v>968</v>
      </c>
      <c r="M169" s="5"/>
      <c r="N169" s="413" t="s">
        <v>946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x14ac:dyDescent="0.2">
      <c r="A170" s="5"/>
      <c r="B170" s="5"/>
      <c r="C170" s="5"/>
      <c r="D170" s="5"/>
      <c r="E170" s="5"/>
      <c r="F170" s="5"/>
      <c r="G170" s="5"/>
      <c r="H170" s="5"/>
      <c r="I170" s="5">
        <v>1</v>
      </c>
      <c r="J170" s="5">
        <f t="shared" ref="J170:J177" si="51">1.35*K104</f>
        <v>684057.03120000008</v>
      </c>
      <c r="K170" s="265">
        <f t="shared" ref="K170:K177" si="52">J170*1000/($B$17*1000000)/$B$20</f>
        <v>4.4095836357887999</v>
      </c>
      <c r="L170" s="5">
        <f t="shared" ref="L170:L177" si="53">L154</f>
        <v>8</v>
      </c>
      <c r="M170" s="5"/>
      <c r="N170" s="417">
        <f t="shared" ref="N170:N177" si="54">L170/K170</f>
        <v>1.8142302450215202</v>
      </c>
      <c r="O170" s="264" t="str">
        <f t="shared" ref="O170:O177" si="55">IF(L170/K170&gt;1,"OK","ERROR")</f>
        <v>OK</v>
      </c>
      <c r="P170" s="5"/>
      <c r="Q170" s="5"/>
      <c r="R170" s="5"/>
      <c r="S170" s="5"/>
      <c r="T170" s="5"/>
      <c r="U170" s="5"/>
      <c r="V170" s="5"/>
      <c r="W170" s="5"/>
      <c r="X170" s="5"/>
    </row>
    <row r="171" spans="1:24" x14ac:dyDescent="0.2">
      <c r="A171" s="5"/>
      <c r="B171" s="5"/>
      <c r="C171" s="5"/>
      <c r="D171" s="5"/>
      <c r="E171" s="5"/>
      <c r="F171" s="5"/>
      <c r="G171" s="5"/>
      <c r="H171" s="5"/>
      <c r="I171" s="5">
        <v>2</v>
      </c>
      <c r="J171" s="5">
        <f t="shared" si="51"/>
        <v>463846.32720000006</v>
      </c>
      <c r="K171" s="265">
        <f t="shared" si="52"/>
        <v>2.9900565020927998</v>
      </c>
      <c r="L171" s="5">
        <f t="shared" si="53"/>
        <v>8</v>
      </c>
      <c r="M171" s="5"/>
      <c r="N171" s="417">
        <f t="shared" si="54"/>
        <v>2.6755347246450496</v>
      </c>
      <c r="O171" s="264" t="str">
        <f t="shared" si="55"/>
        <v>OK</v>
      </c>
      <c r="P171" s="5"/>
      <c r="Q171" s="5"/>
      <c r="R171" s="5"/>
      <c r="S171" s="5"/>
      <c r="T171" s="5"/>
      <c r="U171" s="5"/>
      <c r="V171" s="5"/>
      <c r="W171" s="5"/>
      <c r="X171" s="5"/>
    </row>
    <row r="172" spans="1:24" x14ac:dyDescent="0.2">
      <c r="A172" s="5"/>
      <c r="B172" s="5"/>
      <c r="C172" s="5"/>
      <c r="D172" s="5"/>
      <c r="E172" s="5"/>
      <c r="F172" s="5"/>
      <c r="G172" s="5"/>
      <c r="H172" s="5"/>
      <c r="I172" s="5">
        <v>3</v>
      </c>
      <c r="J172" s="5">
        <f t="shared" si="51"/>
        <v>243635.62319999997</v>
      </c>
      <c r="K172" s="265">
        <f t="shared" si="52"/>
        <v>1.5705293683967996</v>
      </c>
      <c r="L172" s="5">
        <f t="shared" si="53"/>
        <v>8</v>
      </c>
      <c r="M172" s="5"/>
      <c r="N172" s="417">
        <f t="shared" si="54"/>
        <v>5.0938238793754111</v>
      </c>
      <c r="O172" s="264" t="str">
        <f t="shared" si="55"/>
        <v>OK</v>
      </c>
      <c r="P172" s="5"/>
      <c r="Q172" s="5"/>
      <c r="R172" s="5"/>
      <c r="S172" s="5"/>
      <c r="T172" s="5"/>
      <c r="U172" s="5"/>
      <c r="V172" s="5"/>
      <c r="W172" s="5"/>
      <c r="X172" s="5"/>
    </row>
    <row r="173" spans="1:24" x14ac:dyDescent="0.2">
      <c r="A173" s="5"/>
      <c r="B173" s="5"/>
      <c r="C173" s="5"/>
      <c r="D173" s="5"/>
      <c r="E173" s="5"/>
      <c r="F173" s="5"/>
      <c r="G173" s="5"/>
      <c r="H173" s="5"/>
      <c r="I173" s="5">
        <v>4</v>
      </c>
      <c r="J173" s="5">
        <f t="shared" si="51"/>
        <v>205098.75</v>
      </c>
      <c r="K173" s="265">
        <f t="shared" si="52"/>
        <v>1.3221121199999999</v>
      </c>
      <c r="L173" s="5">
        <f t="shared" si="53"/>
        <v>8</v>
      </c>
      <c r="M173" s="5"/>
      <c r="N173" s="417">
        <f t="shared" si="54"/>
        <v>6.0509240320707454</v>
      </c>
      <c r="O173" s="264" t="str">
        <f t="shared" si="55"/>
        <v>OK</v>
      </c>
      <c r="P173" s="5"/>
      <c r="Q173" s="5"/>
      <c r="R173" s="5"/>
      <c r="S173" s="5"/>
      <c r="T173" s="5"/>
      <c r="U173" s="5"/>
      <c r="V173" s="5"/>
      <c r="W173" s="5"/>
      <c r="X173" s="5"/>
    </row>
    <row r="174" spans="1:24" x14ac:dyDescent="0.2">
      <c r="A174" s="5"/>
      <c r="B174" s="5"/>
      <c r="C174" s="5"/>
      <c r="D174" s="5"/>
      <c r="E174" s="5"/>
      <c r="F174" s="5"/>
      <c r="G174" s="5"/>
      <c r="H174" s="5"/>
      <c r="I174" s="5">
        <v>5</v>
      </c>
      <c r="J174" s="5">
        <f t="shared" si="51"/>
        <v>205098.75</v>
      </c>
      <c r="K174" s="265">
        <f t="shared" si="52"/>
        <v>1.3221121199999999</v>
      </c>
      <c r="L174" s="5">
        <f t="shared" si="53"/>
        <v>0</v>
      </c>
      <c r="M174" s="5"/>
      <c r="N174" s="417">
        <f t="shared" si="54"/>
        <v>0</v>
      </c>
      <c r="O174" s="264" t="str">
        <f t="shared" si="55"/>
        <v>ERROR</v>
      </c>
      <c r="P174" s="5"/>
      <c r="Q174" s="5"/>
      <c r="R174" s="5"/>
      <c r="S174" s="5"/>
      <c r="T174" s="5"/>
      <c r="U174" s="5"/>
      <c r="V174" s="5"/>
      <c r="W174" s="5"/>
      <c r="X174" s="5"/>
    </row>
    <row r="175" spans="1:24" x14ac:dyDescent="0.2">
      <c r="A175" s="5"/>
      <c r="B175" s="5"/>
      <c r="C175" s="5"/>
      <c r="D175" s="5"/>
      <c r="E175" s="5"/>
      <c r="F175" s="5"/>
      <c r="G175" s="5"/>
      <c r="H175" s="5"/>
      <c r="I175" s="5">
        <v>6</v>
      </c>
      <c r="J175" s="5">
        <f t="shared" si="51"/>
        <v>205098.75</v>
      </c>
      <c r="K175" s="265">
        <f t="shared" si="52"/>
        <v>1.3221121199999999</v>
      </c>
      <c r="L175" s="5">
        <f t="shared" si="53"/>
        <v>0</v>
      </c>
      <c r="M175" s="5"/>
      <c r="N175" s="417">
        <f t="shared" si="54"/>
        <v>0</v>
      </c>
      <c r="O175" s="264" t="str">
        <f t="shared" si="55"/>
        <v>ERROR</v>
      </c>
      <c r="P175" s="5"/>
      <c r="Q175" s="5"/>
      <c r="R175" s="5"/>
      <c r="S175" s="5"/>
      <c r="T175" s="5"/>
      <c r="U175" s="5"/>
      <c r="V175" s="5"/>
      <c r="W175" s="5"/>
      <c r="X175" s="5"/>
    </row>
    <row r="176" spans="1:24" x14ac:dyDescent="0.2">
      <c r="A176" s="5"/>
      <c r="B176" s="5"/>
      <c r="C176" s="5"/>
      <c r="D176" s="5"/>
      <c r="E176" s="5"/>
      <c r="F176" s="5"/>
      <c r="G176" s="5"/>
      <c r="H176" s="5"/>
      <c r="I176" s="5">
        <v>7</v>
      </c>
      <c r="J176" s="5">
        <f t="shared" si="51"/>
        <v>205098.75</v>
      </c>
      <c r="K176" s="265">
        <f t="shared" si="52"/>
        <v>1.3221121199999999</v>
      </c>
      <c r="L176" s="5">
        <f t="shared" si="53"/>
        <v>0</v>
      </c>
      <c r="M176" s="5"/>
      <c r="N176" s="417">
        <f t="shared" si="54"/>
        <v>0</v>
      </c>
      <c r="O176" s="264" t="str">
        <f t="shared" si="55"/>
        <v>ERROR</v>
      </c>
      <c r="P176" s="5"/>
      <c r="Q176" s="5"/>
      <c r="R176" s="5"/>
      <c r="S176" s="5"/>
      <c r="T176" s="5"/>
      <c r="U176" s="5"/>
      <c r="V176" s="5"/>
      <c r="W176" s="5"/>
      <c r="X176" s="5"/>
    </row>
    <row r="177" spans="1:24" x14ac:dyDescent="0.2">
      <c r="A177" s="5"/>
      <c r="B177" s="5"/>
      <c r="C177" s="5"/>
      <c r="D177" s="5"/>
      <c r="E177" s="5"/>
      <c r="F177" s="5"/>
      <c r="G177" s="5"/>
      <c r="H177" s="5"/>
      <c r="I177" s="5">
        <v>8</v>
      </c>
      <c r="J177" s="5">
        <f t="shared" si="51"/>
        <v>205098.75</v>
      </c>
      <c r="K177" s="265">
        <f t="shared" si="52"/>
        <v>1.3221121199999999</v>
      </c>
      <c r="L177" s="5">
        <f t="shared" si="53"/>
        <v>0</v>
      </c>
      <c r="M177" s="5"/>
      <c r="N177" s="417">
        <f t="shared" si="54"/>
        <v>0</v>
      </c>
      <c r="O177" s="264" t="str">
        <f t="shared" si="55"/>
        <v>ERROR</v>
      </c>
      <c r="P177" s="5"/>
      <c r="Q177" s="5"/>
      <c r="R177" s="5"/>
      <c r="S177" s="5"/>
      <c r="T177" s="5"/>
      <c r="U177" s="5"/>
      <c r="V177" s="5"/>
      <c r="W177" s="5"/>
      <c r="X177" s="5"/>
    </row>
  </sheetData>
  <mergeCells count="54">
    <mergeCell ref="C9:H10"/>
    <mergeCell ref="G46:H46"/>
    <mergeCell ref="A47:C47"/>
    <mergeCell ref="D43:H43"/>
    <mergeCell ref="D45:H45"/>
    <mergeCell ref="E46:F46"/>
    <mergeCell ref="E47:F47"/>
    <mergeCell ref="A46:C46"/>
    <mergeCell ref="A54:A55"/>
    <mergeCell ref="D54:E55"/>
    <mergeCell ref="C17:H17"/>
    <mergeCell ref="C19:H19"/>
    <mergeCell ref="C20:H20"/>
    <mergeCell ref="F55:G55"/>
    <mergeCell ref="B55:C55"/>
    <mergeCell ref="A24:H24"/>
    <mergeCell ref="A50:H52"/>
    <mergeCell ref="D44:H44"/>
    <mergeCell ref="E5:F5"/>
    <mergeCell ref="D1:H1"/>
    <mergeCell ref="D2:H2"/>
    <mergeCell ref="A4:C4"/>
    <mergeCell ref="G4:H4"/>
    <mergeCell ref="D3:H3"/>
    <mergeCell ref="A1:C3"/>
    <mergeCell ref="E4:F4"/>
    <mergeCell ref="A5:C5"/>
    <mergeCell ref="I1:K3"/>
    <mergeCell ref="L1:P1"/>
    <mergeCell ref="L2:P2"/>
    <mergeCell ref="L3:P3"/>
    <mergeCell ref="I4:K4"/>
    <mergeCell ref="M4:N4"/>
    <mergeCell ref="O4:P4"/>
    <mergeCell ref="I5:K5"/>
    <mergeCell ref="M5:N5"/>
    <mergeCell ref="K9:P10"/>
    <mergeCell ref="K17:P17"/>
    <mergeCell ref="K19:P19"/>
    <mergeCell ref="K20:P20"/>
    <mergeCell ref="I24:P24"/>
    <mergeCell ref="L43:P43"/>
    <mergeCell ref="L44:P44"/>
    <mergeCell ref="L45:P45"/>
    <mergeCell ref="I46:K46"/>
    <mergeCell ref="M46:N46"/>
    <mergeCell ref="O46:P46"/>
    <mergeCell ref="I47:K47"/>
    <mergeCell ref="M47:N47"/>
    <mergeCell ref="I50:P52"/>
    <mergeCell ref="I54:I55"/>
    <mergeCell ref="L54:M55"/>
    <mergeCell ref="J55:K55"/>
    <mergeCell ref="N54:O55"/>
  </mergeCells>
  <pageMargins left="0.75" right="0.75" top="1" bottom="1" header="0" footer="0"/>
  <pageSetup paperSize="9" scale="95" fitToHeight="0" orientation="portrait"/>
  <headerFooter alignWithMargins="0">
    <oddFooter>&amp;L&amp;D&amp;R&amp;P/&amp;N</oddFooter>
  </headerFooter>
  <rowBreaks count="2" manualBreakCount="2">
    <brk id="42" min="8" max="15" man="1"/>
    <brk id="94" min="8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Y145"/>
  <sheetViews>
    <sheetView topLeftCell="A103" workbookViewId="0">
      <selection activeCell="G67" sqref="G67"/>
    </sheetView>
    <sheetView tabSelected="1" topLeftCell="A107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10" customWidth="1"/>
    <col min="3" max="3" width="9.140625" customWidth="1"/>
    <col min="4" max="4" width="8.140625" customWidth="1"/>
    <col min="5" max="5" width="10.42578125" customWidth="1"/>
    <col min="6" max="6" width="10" customWidth="1"/>
    <col min="7" max="7" width="7.85546875" customWidth="1"/>
    <col min="8" max="8" width="25.85546875" customWidth="1"/>
    <col min="10" max="10" width="11.85546875" customWidth="1"/>
    <col min="11" max="11" width="14.85546875" customWidth="1"/>
    <col min="12" max="12" width="13.42578125" customWidth="1"/>
    <col min="13" max="13" width="15.140625" customWidth="1"/>
    <col min="14" max="14" width="13.85546875" customWidth="1"/>
    <col min="15" max="15" width="12.85546875" customWidth="1"/>
    <col min="18" max="18" width="9.85546875" customWidth="1"/>
    <col min="20" max="20" width="12" bestFit="1" customWidth="1"/>
  </cols>
  <sheetData>
    <row r="1" spans="1:25" ht="17.25" customHeight="1" thickTop="1" thickBot="1" x14ac:dyDescent="0.3">
      <c r="A1" s="988"/>
      <c r="B1" s="823"/>
      <c r="C1" s="871"/>
      <c r="D1" s="934" t="str">
        <f>'Front Page'!$A$13</f>
        <v>Mechanical  Calculations</v>
      </c>
      <c r="E1" s="842"/>
      <c r="F1" s="842"/>
      <c r="G1" s="842"/>
      <c r="H1" s="859"/>
      <c r="I1" s="988"/>
      <c r="J1" s="823"/>
      <c r="K1" s="871"/>
      <c r="L1" s="934" t="str">
        <f>'Front Page'!$A$13</f>
        <v>Mechanical  Calculations</v>
      </c>
      <c r="M1" s="842"/>
      <c r="N1" s="842"/>
      <c r="O1" s="842"/>
      <c r="P1" s="859"/>
      <c r="Q1" s="5"/>
      <c r="R1" s="5"/>
      <c r="S1" s="5"/>
      <c r="T1" s="5"/>
      <c r="U1" s="5"/>
      <c r="V1" s="5"/>
      <c r="W1" s="5"/>
      <c r="X1" s="5"/>
      <c r="Y1" s="5"/>
    </row>
    <row r="2" spans="1:25" ht="16.5" customHeight="1" thickBot="1" x14ac:dyDescent="0.3">
      <c r="A2" s="825"/>
      <c r="B2" s="809"/>
      <c r="C2" s="989"/>
      <c r="D2" s="984"/>
      <c r="E2" s="831"/>
      <c r="F2" s="831"/>
      <c r="G2" s="831"/>
      <c r="H2" s="854"/>
      <c r="I2" s="825"/>
      <c r="J2" s="809"/>
      <c r="K2" s="989"/>
      <c r="L2" s="984"/>
      <c r="M2" s="831"/>
      <c r="N2" s="831"/>
      <c r="O2" s="831"/>
      <c r="P2" s="854"/>
      <c r="Q2" s="5"/>
      <c r="R2" s="5"/>
      <c r="S2" s="5"/>
      <c r="T2" s="5"/>
      <c r="U2" s="5"/>
      <c r="V2" s="5"/>
      <c r="W2" s="5"/>
      <c r="X2" s="5"/>
      <c r="Y2" s="5"/>
    </row>
    <row r="3" spans="1:25" ht="16.5" customHeight="1" thickBot="1" x14ac:dyDescent="0.3">
      <c r="A3" s="827"/>
      <c r="B3" s="828"/>
      <c r="C3" s="857"/>
      <c r="D3" s="985" t="s">
        <v>882</v>
      </c>
      <c r="E3" s="834"/>
      <c r="F3" s="834"/>
      <c r="G3" s="834"/>
      <c r="H3" s="986"/>
      <c r="I3" s="827"/>
      <c r="J3" s="828"/>
      <c r="K3" s="857"/>
      <c r="L3" s="985" t="s">
        <v>882</v>
      </c>
      <c r="M3" s="834"/>
      <c r="N3" s="834"/>
      <c r="O3" s="834"/>
      <c r="P3" s="986"/>
      <c r="Q3" s="5"/>
      <c r="R3" s="5"/>
      <c r="S3" s="5"/>
      <c r="T3" s="5"/>
      <c r="U3" s="5"/>
      <c r="V3" s="5"/>
      <c r="W3" s="5"/>
      <c r="X3" s="5"/>
      <c r="Y3" s="5"/>
    </row>
    <row r="4" spans="1:25" ht="16.5" customHeight="1" thickTop="1" thickBot="1" x14ac:dyDescent="0.3">
      <c r="A4" s="830"/>
      <c r="B4" s="831"/>
      <c r="C4" s="832"/>
      <c r="D4" s="385" t="str">
        <f>'Front Page'!$D$4</f>
        <v>Doc Nº</v>
      </c>
      <c r="E4" s="980"/>
      <c r="F4" s="843"/>
      <c r="G4" s="990"/>
      <c r="H4" s="829"/>
      <c r="I4" s="830"/>
      <c r="J4" s="831"/>
      <c r="K4" s="832"/>
      <c r="L4" s="385" t="str">
        <f>'Front Page'!$D$4</f>
        <v>Doc Nº</v>
      </c>
      <c r="M4" s="980"/>
      <c r="N4" s="843"/>
      <c r="O4" s="990"/>
      <c r="P4" s="829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thickBot="1" x14ac:dyDescent="0.3">
      <c r="A5" s="987"/>
      <c r="B5" s="834"/>
      <c r="C5" s="835"/>
      <c r="D5" s="386" t="str">
        <f>'Front Page'!$D$5</f>
        <v>Project</v>
      </c>
      <c r="E5" s="899"/>
      <c r="F5" s="835"/>
      <c r="G5" s="131" t="s">
        <v>5</v>
      </c>
      <c r="H5" s="132"/>
      <c r="I5" s="987"/>
      <c r="J5" s="834"/>
      <c r="K5" s="835"/>
      <c r="L5" s="386" t="str">
        <f>'Front Page'!$D$5</f>
        <v>Project</v>
      </c>
      <c r="M5" s="899"/>
      <c r="N5" s="835"/>
      <c r="O5" s="131" t="s">
        <v>5</v>
      </c>
      <c r="P5" s="427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  <c r="S6" s="5"/>
      <c r="T6" s="5"/>
      <c r="U6" s="5"/>
      <c r="V6" s="5"/>
      <c r="W6" s="5"/>
      <c r="X6" s="5"/>
      <c r="Y6" s="5"/>
    </row>
    <row r="7" spans="1:25" ht="15" customHeight="1" x14ac:dyDescent="0.25">
      <c r="A7" s="134" t="s">
        <v>883</v>
      </c>
      <c r="B7" s="5"/>
      <c r="C7" s="5"/>
      <c r="D7" s="5"/>
      <c r="E7" s="65"/>
      <c r="F7" s="65"/>
      <c r="G7" s="142"/>
      <c r="H7" s="117"/>
      <c r="I7" s="134" t="s">
        <v>883</v>
      </c>
      <c r="J7" s="5"/>
      <c r="K7" s="5"/>
      <c r="L7" s="5"/>
      <c r="M7" s="65"/>
      <c r="N7" s="65"/>
      <c r="O7" s="142"/>
      <c r="P7" s="117"/>
      <c r="Q7" s="5"/>
      <c r="R7" s="5"/>
      <c r="S7" s="5"/>
      <c r="T7" s="5"/>
      <c r="U7" s="5"/>
      <c r="V7" s="5"/>
      <c r="W7" s="5"/>
      <c r="X7" s="5"/>
      <c r="Y7" s="5"/>
    </row>
    <row r="8" spans="1:25" ht="15" customHeight="1" x14ac:dyDescent="0.2">
      <c r="A8" s="118"/>
      <c r="B8" s="5"/>
      <c r="C8" s="5"/>
      <c r="D8" s="5"/>
      <c r="E8" s="65"/>
      <c r="F8" s="65"/>
      <c r="G8" s="142"/>
      <c r="H8" s="117"/>
      <c r="I8" s="118"/>
      <c r="J8" s="5"/>
      <c r="K8" s="5"/>
      <c r="L8" s="5"/>
      <c r="M8" s="65"/>
      <c r="N8" s="65"/>
      <c r="O8" s="142"/>
      <c r="P8" s="117"/>
      <c r="Q8" s="5"/>
      <c r="R8" s="5"/>
      <c r="S8" s="5"/>
      <c r="T8" s="5"/>
      <c r="U8" s="5"/>
      <c r="V8" s="5"/>
      <c r="W8" s="5"/>
      <c r="X8" s="5"/>
      <c r="Y8" s="5"/>
    </row>
    <row r="9" spans="1:25" x14ac:dyDescent="0.2">
      <c r="A9" s="5" t="s">
        <v>197</v>
      </c>
      <c r="B9" s="387">
        <f>'Weight Calculations'!H71+'Thermal calculation 2'!K82</f>
        <v>80084.941287362512</v>
      </c>
      <c r="C9" s="982" t="s">
        <v>884</v>
      </c>
      <c r="D9" s="809"/>
      <c r="E9" s="809"/>
      <c r="F9" s="809"/>
      <c r="G9" s="809"/>
      <c r="H9" s="809"/>
      <c r="I9" s="5" t="s">
        <v>197</v>
      </c>
      <c r="J9" s="387">
        <f>B9*2.205</f>
        <v>176587.29553863435</v>
      </c>
      <c r="K9" s="901" t="s">
        <v>885</v>
      </c>
      <c r="L9" s="809"/>
      <c r="M9" s="809"/>
      <c r="N9" s="809"/>
      <c r="O9" s="809"/>
      <c r="P9" s="809"/>
      <c r="Q9" s="5"/>
      <c r="R9" s="5"/>
      <c r="S9" s="5"/>
      <c r="T9" s="5"/>
      <c r="U9" s="5"/>
      <c r="V9" s="5"/>
      <c r="W9" s="5"/>
      <c r="X9" s="5"/>
      <c r="Y9" s="5"/>
    </row>
    <row r="10" spans="1:25" x14ac:dyDescent="0.2">
      <c r="A10" s="5"/>
      <c r="B10" s="5"/>
      <c r="C10" s="809"/>
      <c r="D10" s="809"/>
      <c r="E10" s="809"/>
      <c r="F10" s="809"/>
      <c r="G10" s="809"/>
      <c r="H10" s="809"/>
      <c r="I10" s="5"/>
      <c r="J10" s="5"/>
      <c r="K10" s="809"/>
      <c r="L10" s="809"/>
      <c r="M10" s="809"/>
      <c r="N10" s="809"/>
      <c r="O10" s="809"/>
      <c r="P10" s="809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5" t="s">
        <v>886</v>
      </c>
      <c r="B11" s="389">
        <f>'Main Dimensions Calcs'!D18</f>
        <v>8000</v>
      </c>
      <c r="C11" s="5" t="s">
        <v>887</v>
      </c>
      <c r="D11" s="5"/>
      <c r="E11" s="65"/>
      <c r="F11" s="65"/>
      <c r="G11" s="142"/>
      <c r="H11" s="117"/>
      <c r="I11" s="5" t="s">
        <v>886</v>
      </c>
      <c r="J11" s="390">
        <f>B11*0.062428</f>
        <v>499.42399999999998</v>
      </c>
      <c r="K11" s="64" t="s">
        <v>888</v>
      </c>
      <c r="L11" s="5"/>
      <c r="M11" s="65"/>
      <c r="N11" s="65"/>
      <c r="O11" s="142"/>
      <c r="P11" s="117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">
      <c r="A12" s="5"/>
      <c r="B12" s="5"/>
      <c r="C12" s="5"/>
      <c r="D12" s="5"/>
      <c r="E12" s="65"/>
      <c r="F12" s="65"/>
      <c r="G12" s="142"/>
      <c r="H12" s="117">
        <f>B14*0.1</f>
        <v>1.4999999999999999E-2</v>
      </c>
      <c r="I12" s="5"/>
      <c r="J12" s="5"/>
      <c r="K12" s="5"/>
      <c r="L12" s="5"/>
      <c r="M12" s="65"/>
      <c r="N12" s="65"/>
      <c r="O12" s="142"/>
      <c r="P12" s="117"/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">
      <c r="A13" s="5" t="s">
        <v>889</v>
      </c>
      <c r="B13" s="389">
        <f>'Main Dimensions Calcs'!D11</f>
        <v>808</v>
      </c>
      <c r="C13" s="5" t="s">
        <v>890</v>
      </c>
      <c r="D13" s="5"/>
      <c r="E13" s="65"/>
      <c r="F13" s="65"/>
      <c r="G13" s="142"/>
      <c r="H13" s="117">
        <f>B15*0.1</f>
        <v>8.0000000000000004E-4</v>
      </c>
      <c r="I13" s="5" t="s">
        <v>889</v>
      </c>
      <c r="J13" s="390">
        <f>B13*0.062428</f>
        <v>50.441823999999997</v>
      </c>
      <c r="K13" s="64" t="s">
        <v>891</v>
      </c>
      <c r="L13" s="5"/>
      <c r="M13" s="65"/>
      <c r="N13" s="65"/>
      <c r="O13" s="142"/>
      <c r="P13" s="117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">
      <c r="A14" s="5" t="s">
        <v>892</v>
      </c>
      <c r="B14" s="389">
        <f>'Design Conditions'!G13</f>
        <v>0.15</v>
      </c>
      <c r="C14" s="5" t="s">
        <v>893</v>
      </c>
      <c r="D14" s="5"/>
      <c r="E14" s="5"/>
      <c r="F14" s="5"/>
      <c r="G14" s="5"/>
      <c r="H14" s="5">
        <f>H12+H13</f>
        <v>1.5799999999999998E-2</v>
      </c>
      <c r="I14" s="5" t="s">
        <v>892</v>
      </c>
      <c r="J14" s="390">
        <f>B14*14.5</f>
        <v>2.1749999999999998</v>
      </c>
      <c r="K14" s="64" t="s">
        <v>894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2">
      <c r="A15" s="5" t="s">
        <v>895</v>
      </c>
      <c r="B15" s="333">
        <f>'Design Conditions'!G16</f>
        <v>8.0000000000000002E-3</v>
      </c>
      <c r="C15" s="5" t="s">
        <v>896</v>
      </c>
      <c r="D15" s="5"/>
      <c r="E15" s="5"/>
      <c r="F15" s="5"/>
      <c r="G15" s="5"/>
      <c r="H15" s="5"/>
      <c r="I15" s="5" t="s">
        <v>895</v>
      </c>
      <c r="J15" s="428">
        <f>B15*14.5</f>
        <v>0.11600000000000001</v>
      </c>
      <c r="K15" s="64" t="s">
        <v>897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2">
      <c r="A17" s="5" t="s">
        <v>898</v>
      </c>
      <c r="B17" s="389">
        <f>'Allowable Stresses'!G31</f>
        <v>155.12961941533371</v>
      </c>
      <c r="C17" s="982" t="s">
        <v>899</v>
      </c>
      <c r="D17" s="809"/>
      <c r="E17" s="809"/>
      <c r="F17" s="809"/>
      <c r="G17" s="809"/>
      <c r="H17" s="809"/>
      <c r="I17" s="5" t="s">
        <v>898</v>
      </c>
      <c r="J17" s="390">
        <f>B17*145.04</f>
        <v>22500</v>
      </c>
      <c r="K17" s="901" t="s">
        <v>900</v>
      </c>
      <c r="L17" s="809"/>
      <c r="M17" s="809"/>
      <c r="N17" s="809"/>
      <c r="O17" s="809"/>
      <c r="P17" s="809"/>
      <c r="Q17" s="5"/>
      <c r="R17" s="5"/>
      <c r="S17" s="5"/>
      <c r="T17" s="5"/>
      <c r="U17" s="5"/>
      <c r="V17" s="5"/>
      <c r="W17" s="5"/>
      <c r="X17" s="5"/>
      <c r="Y17" s="5"/>
    </row>
    <row r="18" spans="1:25" x14ac:dyDescent="0.2">
      <c r="A18" s="5" t="s">
        <v>990</v>
      </c>
      <c r="B18" s="389"/>
      <c r="C18" s="901" t="s">
        <v>899</v>
      </c>
      <c r="D18" s="809"/>
      <c r="E18" s="809"/>
      <c r="F18" s="809"/>
      <c r="G18" s="809"/>
      <c r="H18" s="809"/>
      <c r="I18" s="5"/>
      <c r="J18" s="390"/>
      <c r="K18" s="73"/>
      <c r="L18" s="388"/>
      <c r="M18" s="388"/>
      <c r="N18" s="388"/>
      <c r="O18" s="388"/>
      <c r="P18" s="388"/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">
      <c r="A19" s="5" t="s">
        <v>901</v>
      </c>
      <c r="B19" s="389">
        <f>'Allowable Stresses'!E31</f>
        <v>517.09873138444573</v>
      </c>
      <c r="C19" s="5" t="s">
        <v>902</v>
      </c>
      <c r="D19" s="5"/>
      <c r="E19" s="5"/>
      <c r="F19" s="5"/>
      <c r="G19" s="5"/>
      <c r="H19" s="5"/>
      <c r="I19" s="5" t="s">
        <v>901</v>
      </c>
      <c r="J19" s="390">
        <f>B19*145.04</f>
        <v>75000</v>
      </c>
      <c r="K19" s="64" t="s">
        <v>903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5" t="s">
        <v>904</v>
      </c>
      <c r="B20" s="216">
        <v>1</v>
      </c>
      <c r="C20" s="982" t="s">
        <v>905</v>
      </c>
      <c r="D20" s="809"/>
      <c r="E20" s="809"/>
      <c r="F20" s="809"/>
      <c r="G20" s="809"/>
      <c r="H20" s="809"/>
      <c r="I20" s="5" t="s">
        <v>904</v>
      </c>
      <c r="J20" s="216">
        <v>1</v>
      </c>
      <c r="K20" s="982" t="s">
        <v>905</v>
      </c>
      <c r="L20" s="809"/>
      <c r="M20" s="809"/>
      <c r="N20" s="809"/>
      <c r="O20" s="809"/>
      <c r="P20" s="809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" t="s">
        <v>906</v>
      </c>
      <c r="B21" s="216">
        <v>1</v>
      </c>
      <c r="C21" s="982" t="s">
        <v>907</v>
      </c>
      <c r="D21" s="809"/>
      <c r="E21" s="809"/>
      <c r="F21" s="809"/>
      <c r="G21" s="809"/>
      <c r="H21" s="809"/>
      <c r="I21" s="5" t="s">
        <v>906</v>
      </c>
      <c r="J21" s="216">
        <v>1</v>
      </c>
      <c r="K21" s="982" t="s">
        <v>907</v>
      </c>
      <c r="L21" s="809"/>
      <c r="M21" s="809"/>
      <c r="N21" s="809"/>
      <c r="O21" s="809"/>
      <c r="P21" s="809"/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">
      <c r="A22" s="5" t="s">
        <v>908</v>
      </c>
      <c r="B22" s="391">
        <f>'Main Dimensions Calcs'!D53/1000</f>
        <v>20.6</v>
      </c>
      <c r="C22" s="5" t="s">
        <v>909</v>
      </c>
      <c r="D22" s="5"/>
      <c r="E22" s="5"/>
      <c r="F22" s="5"/>
      <c r="G22" s="5"/>
      <c r="H22" s="5"/>
      <c r="I22" s="5" t="s">
        <v>908</v>
      </c>
      <c r="J22" s="390">
        <f>B22*1000/25.4</f>
        <v>811.02362204724409</v>
      </c>
      <c r="K22" s="64" t="s">
        <v>910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" t="s">
        <v>911</v>
      </c>
      <c r="B23" s="391">
        <f>'Main Dimensions Calcs'!D51/1000</f>
        <v>4.3499999999999996</v>
      </c>
      <c r="C23" s="5" t="s">
        <v>912</v>
      </c>
      <c r="D23" s="5"/>
      <c r="E23" s="5"/>
      <c r="F23" s="5"/>
      <c r="G23" s="5"/>
      <c r="H23" s="5"/>
      <c r="I23" s="5" t="s">
        <v>911</v>
      </c>
      <c r="J23" s="390">
        <f>B23*1000/25.4</f>
        <v>171.25984251968504</v>
      </c>
      <c r="K23" s="64" t="s">
        <v>913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35.25" customHeight="1" x14ac:dyDescent="0.25">
      <c r="A25" s="983" t="s">
        <v>914</v>
      </c>
      <c r="B25" s="809"/>
      <c r="C25" s="809"/>
      <c r="D25" s="809"/>
      <c r="E25" s="809"/>
      <c r="F25" s="809"/>
      <c r="G25" s="809"/>
      <c r="H25" s="809"/>
      <c r="I25" s="983" t="s">
        <v>914</v>
      </c>
      <c r="J25" s="809"/>
      <c r="K25" s="809"/>
      <c r="L25" s="809"/>
      <c r="M25" s="809"/>
      <c r="N25" s="809"/>
      <c r="O25" s="809"/>
      <c r="P25" s="809"/>
      <c r="Q25" s="5"/>
      <c r="R25" s="5"/>
      <c r="S25" s="5"/>
      <c r="T25" s="5"/>
      <c r="U25" s="5"/>
      <c r="V25" s="5"/>
      <c r="W25" s="5"/>
      <c r="X25" s="5"/>
      <c r="Y25" s="5"/>
    </row>
    <row r="26" spans="1:25" ht="1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43.35" customHeight="1" x14ac:dyDescent="0.2">
      <c r="A27" s="392" t="s">
        <v>256</v>
      </c>
      <c r="B27" s="218" t="s">
        <v>915</v>
      </c>
      <c r="C27" s="218" t="s">
        <v>255</v>
      </c>
      <c r="D27" s="5" t="s">
        <v>916</v>
      </c>
      <c r="E27" s="218" t="s">
        <v>917</v>
      </c>
      <c r="F27" s="218" t="s">
        <v>918</v>
      </c>
      <c r="G27" s="218" t="s">
        <v>919</v>
      </c>
      <c r="H27" s="5"/>
      <c r="I27" s="393" t="s">
        <v>256</v>
      </c>
      <c r="J27" s="393" t="s">
        <v>915</v>
      </c>
      <c r="K27" s="393" t="s">
        <v>255</v>
      </c>
      <c r="L27" s="394" t="s">
        <v>916</v>
      </c>
      <c r="M27" s="393" t="s">
        <v>917</v>
      </c>
      <c r="N27" s="393" t="s">
        <v>918</v>
      </c>
      <c r="O27" s="395" t="s">
        <v>919</v>
      </c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40.5" customHeight="1" x14ac:dyDescent="0.2">
      <c r="A28" s="396" t="s">
        <v>253</v>
      </c>
      <c r="B28" s="298" t="s">
        <v>920</v>
      </c>
      <c r="C28" s="298" t="s">
        <v>921</v>
      </c>
      <c r="D28" s="298" t="s">
        <v>562</v>
      </c>
      <c r="E28" s="298" t="s">
        <v>922</v>
      </c>
      <c r="F28" s="298" t="s">
        <v>923</v>
      </c>
      <c r="G28" s="298" t="s">
        <v>924</v>
      </c>
      <c r="H28" s="5"/>
      <c r="I28" s="397" t="s">
        <v>253</v>
      </c>
      <c r="J28" s="398" t="s">
        <v>920</v>
      </c>
      <c r="K28" s="398" t="s">
        <v>921</v>
      </c>
      <c r="L28" s="398" t="s">
        <v>562</v>
      </c>
      <c r="M28" s="398" t="s">
        <v>922</v>
      </c>
      <c r="N28" s="398" t="s">
        <v>923</v>
      </c>
      <c r="O28" s="398" t="s">
        <v>924</v>
      </c>
      <c r="P28" s="5"/>
      <c r="Q28" s="429" t="s">
        <v>991</v>
      </c>
      <c r="R28" s="429" t="s">
        <v>992</v>
      </c>
      <c r="S28" s="429" t="s">
        <v>993</v>
      </c>
      <c r="T28" s="429" t="s">
        <v>994</v>
      </c>
      <c r="U28" s="429" t="s">
        <v>995</v>
      </c>
      <c r="V28" s="5"/>
      <c r="W28" s="5"/>
      <c r="X28" s="5"/>
      <c r="Y28" s="5"/>
    </row>
    <row r="29" spans="1:25" ht="17.25" customHeight="1" x14ac:dyDescent="0.2">
      <c r="A29" s="5"/>
      <c r="B29" s="14" t="s">
        <v>247</v>
      </c>
      <c r="C29" s="14" t="s">
        <v>247</v>
      </c>
      <c r="D29" s="5"/>
      <c r="E29" s="14" t="s">
        <v>408</v>
      </c>
      <c r="F29" s="14" t="s">
        <v>447</v>
      </c>
      <c r="G29" s="14" t="s">
        <v>925</v>
      </c>
      <c r="H29" s="5"/>
      <c r="I29" s="289"/>
      <c r="J29" s="140" t="s">
        <v>248</v>
      </c>
      <c r="K29" s="140" t="s">
        <v>248</v>
      </c>
      <c r="L29" s="289"/>
      <c r="M29" s="140" t="s">
        <v>248</v>
      </c>
      <c r="N29" s="140" t="s">
        <v>821</v>
      </c>
      <c r="O29" s="140" t="s">
        <v>926</v>
      </c>
      <c r="P29" s="5"/>
      <c r="Q29" s="352">
        <f t="shared" ref="Q29:Q39" si="0">B30/($B$22*1000/2)</f>
        <v>7.7669902912621365E-4</v>
      </c>
      <c r="R29" s="5">
        <f t="shared" ref="R29:R39" si="1">1800000*Q29</f>
        <v>1398.0582524271845</v>
      </c>
      <c r="S29" s="5">
        <f t="shared" ref="S29:S37" si="2">R29*6894.76/1000000</f>
        <v>9.6392761165048562</v>
      </c>
      <c r="T29" s="5">
        <f t="shared" ref="T29:T39" si="3">1000000*Q29</f>
        <v>776.69902912621365</v>
      </c>
      <c r="U29" s="5">
        <f t="shared" ref="U29:U39" si="4">T29*6894.76/1000000</f>
        <v>5.3551533980582535</v>
      </c>
      <c r="V29" s="5"/>
      <c r="W29" s="5"/>
      <c r="X29" s="5"/>
      <c r="Y29" s="5"/>
    </row>
    <row r="30" spans="1:25" x14ac:dyDescent="0.2">
      <c r="A30" s="14">
        <v>1</v>
      </c>
      <c r="B30" s="399">
        <f>'Main Dimensions Calcs'!H7</f>
        <v>8</v>
      </c>
      <c r="C30" s="399">
        <f>'Main Dimensions Calcs'!I7</f>
        <v>2000</v>
      </c>
      <c r="D30" s="399">
        <f>'Main Dimensions Calcs'!K7</f>
        <v>1</v>
      </c>
      <c r="E30" s="400">
        <f>B23</f>
        <v>4.3499999999999996</v>
      </c>
      <c r="F30" s="260">
        <f>$B$22*PI()*$B$11*(SUMPRODUCT(B30:B39,C30:C39))/1000000+B9+('Main Dimensions Calcs'!$D$74*'Main Dimensions Calcs'!$D$53*PI()/1000000000)*1.02*$B$11*SUM(D30:D36)</f>
        <v>115584.95837912016</v>
      </c>
      <c r="G30" s="401">
        <f t="shared" ref="G30:G38" si="5">$B$14*0.1+$B$13*E30*0.0000098-$B$15*0.1</f>
        <v>4.8645039999999994E-2</v>
      </c>
      <c r="H30" s="5"/>
      <c r="I30" s="402">
        <v>1</v>
      </c>
      <c r="J30" s="430">
        <f t="shared" ref="J30:J38" si="6">B30/25.4</f>
        <v>0.31496062992125984</v>
      </c>
      <c r="K30" s="431">
        <f t="shared" ref="K30:K38" si="7">C30/25.4</f>
        <v>78.740157480314963</v>
      </c>
      <c r="L30" s="404">
        <f t="shared" ref="L30:L38" si="8">D30</f>
        <v>1</v>
      </c>
      <c r="M30" s="405">
        <f t="shared" ref="M30:M38" si="9">E30*1000/25.4</f>
        <v>171.25984251968504</v>
      </c>
      <c r="N30" s="406">
        <f t="shared" ref="N30:N38" si="10">F30*2.205</f>
        <v>254864.83322595997</v>
      </c>
      <c r="O30" s="407">
        <f t="shared" ref="O30:O38" si="11">G30*145.04</f>
        <v>7.0554766015999988</v>
      </c>
      <c r="P30" s="5"/>
      <c r="Q30" s="352">
        <f t="shared" si="0"/>
        <v>7.7669902912621365E-4</v>
      </c>
      <c r="R30" s="5">
        <f t="shared" si="1"/>
        <v>1398.0582524271845</v>
      </c>
      <c r="S30" s="5">
        <f t="shared" si="2"/>
        <v>9.6392761165048562</v>
      </c>
      <c r="T30" s="5">
        <f t="shared" si="3"/>
        <v>776.69902912621365</v>
      </c>
      <c r="U30" s="5">
        <f t="shared" si="4"/>
        <v>5.3551533980582535</v>
      </c>
      <c r="V30" s="5"/>
      <c r="W30" s="5"/>
      <c r="X30" s="5"/>
      <c r="Y30" s="5"/>
    </row>
    <row r="31" spans="1:25" x14ac:dyDescent="0.2">
      <c r="A31" s="14">
        <v>2</v>
      </c>
      <c r="B31" s="399">
        <f>'Main Dimensions Calcs'!H8</f>
        <v>8</v>
      </c>
      <c r="C31" s="399">
        <f>'Main Dimensions Calcs'!I8</f>
        <v>2000</v>
      </c>
      <c r="D31" s="399">
        <f>'Main Dimensions Calcs'!K8</f>
        <v>2</v>
      </c>
      <c r="E31" s="400">
        <f t="shared" ref="E31:E38" si="12">IF(E30-C30/1000&gt;0,E30-C30/1000,0)</f>
        <v>2.3499999999999996</v>
      </c>
      <c r="F31" s="260">
        <f>F30-B30*C30*$B$22*PI()*$B$11/1000000-('Main Dimensions Calcs'!$D$74*'Main Dimensions Calcs'!$D$53*PI()/1000000000)*1.02*$B$11*D30</f>
        <v>106667.49987969719</v>
      </c>
      <c r="G31" s="401">
        <f t="shared" si="5"/>
        <v>3.2808239999999995E-2</v>
      </c>
      <c r="H31" s="5"/>
      <c r="I31" s="402">
        <v>2</v>
      </c>
      <c r="J31" s="430">
        <f t="shared" si="6"/>
        <v>0.31496062992125984</v>
      </c>
      <c r="K31" s="431">
        <f t="shared" si="7"/>
        <v>78.740157480314963</v>
      </c>
      <c r="L31" s="404">
        <f t="shared" si="8"/>
        <v>2</v>
      </c>
      <c r="M31" s="405">
        <f t="shared" si="9"/>
        <v>92.51968503937006</v>
      </c>
      <c r="N31" s="406">
        <f t="shared" si="10"/>
        <v>235201.83723473232</v>
      </c>
      <c r="O31" s="407">
        <f t="shared" si="11"/>
        <v>4.758507129599999</v>
      </c>
      <c r="P31" s="5"/>
      <c r="Q31" s="352">
        <f t="shared" si="0"/>
        <v>7.7669902912621365E-4</v>
      </c>
      <c r="R31" s="5">
        <f t="shared" si="1"/>
        <v>1398.0582524271845</v>
      </c>
      <c r="S31" s="5">
        <f t="shared" si="2"/>
        <v>9.6392761165048562</v>
      </c>
      <c r="T31" s="5">
        <f t="shared" si="3"/>
        <v>776.69902912621365</v>
      </c>
      <c r="U31" s="5">
        <f t="shared" si="4"/>
        <v>5.3551533980582535</v>
      </c>
      <c r="V31" s="5"/>
      <c r="W31" s="5"/>
      <c r="X31" s="5"/>
      <c r="Y31" s="5"/>
    </row>
    <row r="32" spans="1:25" x14ac:dyDescent="0.2">
      <c r="A32" s="14">
        <v>3</v>
      </c>
      <c r="B32" s="399">
        <f>'Main Dimensions Calcs'!H9</f>
        <v>8</v>
      </c>
      <c r="C32" s="399">
        <f>'Main Dimensions Calcs'!I9</f>
        <v>2000</v>
      </c>
      <c r="D32" s="399">
        <f>'Main Dimensions Calcs'!K9</f>
        <v>2</v>
      </c>
      <c r="E32" s="400">
        <f t="shared" si="12"/>
        <v>0.34999999999999964</v>
      </c>
      <c r="F32" s="260">
        <f>F31-B31*C31*$B$22*PI()*$B$11/1000000-('Main Dimensions Calcs'!$D$74*'Main Dimensions Calcs'!$D$53*PI()/1000000000)*1.02*$B$11*D31</f>
        <v>97116.334389836833</v>
      </c>
      <c r="G32" s="401">
        <f t="shared" si="5"/>
        <v>1.6971439999999997E-2</v>
      </c>
      <c r="H32" s="5"/>
      <c r="I32" s="402">
        <v>3</v>
      </c>
      <c r="J32" s="430">
        <f t="shared" si="6"/>
        <v>0.31496062992125984</v>
      </c>
      <c r="K32" s="431">
        <f t="shared" si="7"/>
        <v>78.740157480314963</v>
      </c>
      <c r="L32" s="404">
        <f t="shared" si="8"/>
        <v>2</v>
      </c>
      <c r="M32" s="405">
        <f t="shared" si="9"/>
        <v>13.779527559055106</v>
      </c>
      <c r="N32" s="406">
        <f t="shared" si="10"/>
        <v>214141.51732959022</v>
      </c>
      <c r="O32" s="407">
        <f t="shared" si="11"/>
        <v>2.4615376575999997</v>
      </c>
      <c r="P32" s="5"/>
      <c r="Q32" s="352">
        <f t="shared" si="0"/>
        <v>7.7669902912621365E-4</v>
      </c>
      <c r="R32" s="5">
        <f t="shared" si="1"/>
        <v>1398.0582524271845</v>
      </c>
      <c r="S32" s="5">
        <f t="shared" si="2"/>
        <v>9.6392761165048562</v>
      </c>
      <c r="T32" s="5">
        <f t="shared" si="3"/>
        <v>776.69902912621365</v>
      </c>
      <c r="U32" s="5">
        <f t="shared" si="4"/>
        <v>5.3551533980582535</v>
      </c>
      <c r="V32" s="5"/>
      <c r="W32" s="5"/>
      <c r="X32" s="5"/>
      <c r="Y32" s="5"/>
    </row>
    <row r="33" spans="1:25" x14ac:dyDescent="0.2">
      <c r="A33" s="14">
        <v>4</v>
      </c>
      <c r="B33" s="399">
        <f>'Main Dimensions Calcs'!H10</f>
        <v>8</v>
      </c>
      <c r="C33" s="399">
        <f>'Main Dimensions Calcs'!I10</f>
        <v>1500</v>
      </c>
      <c r="D33" s="399">
        <f>'Main Dimensions Calcs'!K10</f>
        <v>2</v>
      </c>
      <c r="E33" s="400">
        <f t="shared" si="12"/>
        <v>0</v>
      </c>
      <c r="F33" s="260">
        <f>F32-B32*C32*$B$22*PI()*$B$11/1000000-('Main Dimensions Calcs'!$D$74*'Main Dimensions Calcs'!$D$53*PI()/1000000000)*1.02*$B$11*D32</f>
        <v>87565.168899976474</v>
      </c>
      <c r="G33" s="401">
        <f t="shared" si="5"/>
        <v>1.4199999999999999E-2</v>
      </c>
      <c r="H33" s="5"/>
      <c r="I33" s="402">
        <v>4</v>
      </c>
      <c r="J33" s="430">
        <f t="shared" si="6"/>
        <v>0.31496062992125984</v>
      </c>
      <c r="K33" s="431">
        <f t="shared" si="7"/>
        <v>59.055118110236222</v>
      </c>
      <c r="L33" s="404">
        <f t="shared" si="8"/>
        <v>2</v>
      </c>
      <c r="M33" s="405">
        <f t="shared" si="9"/>
        <v>0</v>
      </c>
      <c r="N33" s="406">
        <f t="shared" si="10"/>
        <v>193081.19742444812</v>
      </c>
      <c r="O33" s="407">
        <f t="shared" si="11"/>
        <v>2.0595679999999996</v>
      </c>
      <c r="P33" s="5"/>
      <c r="Q33" s="352">
        <f t="shared" si="0"/>
        <v>0</v>
      </c>
      <c r="R33" s="5">
        <f t="shared" si="1"/>
        <v>0</v>
      </c>
      <c r="S33" s="5">
        <f t="shared" si="2"/>
        <v>0</v>
      </c>
      <c r="T33" s="5">
        <f t="shared" si="3"/>
        <v>0</v>
      </c>
      <c r="U33" s="5">
        <f t="shared" si="4"/>
        <v>0</v>
      </c>
      <c r="V33" s="5"/>
      <c r="W33" s="5"/>
      <c r="X33" s="5"/>
      <c r="Y33" s="5"/>
    </row>
    <row r="34" spans="1:25" ht="15.75" customHeight="1" x14ac:dyDescent="0.2">
      <c r="A34" s="14">
        <v>5</v>
      </c>
      <c r="B34" s="399">
        <f>'Main Dimensions Calcs'!H11</f>
        <v>0</v>
      </c>
      <c r="C34" s="399">
        <f>'Main Dimensions Calcs'!I11</f>
        <v>0</v>
      </c>
      <c r="D34" s="399">
        <f>'Main Dimensions Calcs'!K11</f>
        <v>0</v>
      </c>
      <c r="E34" s="400">
        <f t="shared" si="12"/>
        <v>0</v>
      </c>
      <c r="F34" s="260">
        <f>F33-B33*C33*$B$22*PI()*$B$11/1000000-('Main Dimensions Calcs'!$D$74*'Main Dimensions Calcs'!$D$53*PI()/1000000000)*1.02*$B$11*D33</f>
        <v>80084.941287362512</v>
      </c>
      <c r="G34" s="401">
        <f t="shared" si="5"/>
        <v>1.4199999999999999E-2</v>
      </c>
      <c r="H34" s="5"/>
      <c r="I34" s="402">
        <v>5</v>
      </c>
      <c r="J34" s="430">
        <f t="shared" si="6"/>
        <v>0</v>
      </c>
      <c r="K34" s="431">
        <f t="shared" si="7"/>
        <v>0</v>
      </c>
      <c r="L34" s="404">
        <f t="shared" si="8"/>
        <v>0</v>
      </c>
      <c r="M34" s="405">
        <f t="shared" si="9"/>
        <v>0</v>
      </c>
      <c r="N34" s="406">
        <f t="shared" si="10"/>
        <v>176587.29553863435</v>
      </c>
      <c r="O34" s="407">
        <f t="shared" si="11"/>
        <v>2.0595679999999996</v>
      </c>
      <c r="P34" s="5"/>
      <c r="Q34" s="352">
        <f t="shared" si="0"/>
        <v>0</v>
      </c>
      <c r="R34" s="5">
        <f t="shared" si="1"/>
        <v>0</v>
      </c>
      <c r="S34" s="5">
        <f t="shared" si="2"/>
        <v>0</v>
      </c>
      <c r="T34" s="5">
        <f t="shared" si="3"/>
        <v>0</v>
      </c>
      <c r="U34" s="5">
        <f t="shared" si="4"/>
        <v>0</v>
      </c>
      <c r="V34" s="5"/>
      <c r="W34" s="5"/>
      <c r="X34" s="5"/>
      <c r="Y34" s="5"/>
    </row>
    <row r="35" spans="1:25" x14ac:dyDescent="0.2">
      <c r="A35" s="14">
        <v>6</v>
      </c>
      <c r="B35" s="399">
        <f>'Main Dimensions Calcs'!H12</f>
        <v>0</v>
      </c>
      <c r="C35" s="399">
        <f>'Main Dimensions Calcs'!I12</f>
        <v>0</v>
      </c>
      <c r="D35" s="399">
        <f>'Main Dimensions Calcs'!K12</f>
        <v>0</v>
      </c>
      <c r="E35" s="400">
        <f t="shared" si="12"/>
        <v>0</v>
      </c>
      <c r="F35" s="260">
        <f>F34-B34*C34*$B$22*PI()*$B$11/1000000-('Main Dimensions Calcs'!$D$74*'Main Dimensions Calcs'!$D$53*PI()/1000000000)*1.02*$B$11*D34</f>
        <v>80084.941287362512</v>
      </c>
      <c r="G35" s="401">
        <f t="shared" si="5"/>
        <v>1.4199999999999999E-2</v>
      </c>
      <c r="H35" s="5"/>
      <c r="I35" s="402">
        <v>6</v>
      </c>
      <c r="J35" s="430">
        <f t="shared" si="6"/>
        <v>0</v>
      </c>
      <c r="K35" s="431">
        <f t="shared" si="7"/>
        <v>0</v>
      </c>
      <c r="L35" s="404">
        <f t="shared" si="8"/>
        <v>0</v>
      </c>
      <c r="M35" s="405">
        <f t="shared" si="9"/>
        <v>0</v>
      </c>
      <c r="N35" s="406">
        <f t="shared" si="10"/>
        <v>176587.29553863435</v>
      </c>
      <c r="O35" s="407">
        <f t="shared" si="11"/>
        <v>2.0595679999999996</v>
      </c>
      <c r="P35" s="5"/>
      <c r="Q35" s="352">
        <f t="shared" si="0"/>
        <v>0</v>
      </c>
      <c r="R35" s="5">
        <f t="shared" si="1"/>
        <v>0</v>
      </c>
      <c r="S35" s="5">
        <f t="shared" si="2"/>
        <v>0</v>
      </c>
      <c r="T35" s="5">
        <f t="shared" si="3"/>
        <v>0</v>
      </c>
      <c r="U35" s="5">
        <f t="shared" si="4"/>
        <v>0</v>
      </c>
      <c r="V35" s="5"/>
      <c r="W35" s="5"/>
      <c r="X35" s="5"/>
      <c r="Y35" s="5"/>
    </row>
    <row r="36" spans="1:25" x14ac:dyDescent="0.2">
      <c r="A36" s="14">
        <v>7</v>
      </c>
      <c r="B36" s="399">
        <f>'Main Dimensions Calcs'!H13</f>
        <v>0</v>
      </c>
      <c r="C36" s="399">
        <f>'Main Dimensions Calcs'!I13</f>
        <v>0</v>
      </c>
      <c r="D36" s="399">
        <f>'Main Dimensions Calcs'!K13</f>
        <v>0</v>
      </c>
      <c r="E36" s="400">
        <f t="shared" si="12"/>
        <v>0</v>
      </c>
      <c r="F36" s="260">
        <f>F35-B35*C35*$B$22*PI()*$B$11/1000000-('Main Dimensions Calcs'!$D$74*'Main Dimensions Calcs'!$D$53*PI()/1000000000)*1.02*$B$11*D35</f>
        <v>80084.941287362512</v>
      </c>
      <c r="G36" s="401">
        <f t="shared" si="5"/>
        <v>1.4199999999999999E-2</v>
      </c>
      <c r="H36" s="5"/>
      <c r="I36" s="402">
        <v>7</v>
      </c>
      <c r="J36" s="430">
        <f t="shared" si="6"/>
        <v>0</v>
      </c>
      <c r="K36" s="431">
        <f t="shared" si="7"/>
        <v>0</v>
      </c>
      <c r="L36" s="404">
        <f t="shared" si="8"/>
        <v>0</v>
      </c>
      <c r="M36" s="405">
        <f t="shared" si="9"/>
        <v>0</v>
      </c>
      <c r="N36" s="406">
        <f t="shared" si="10"/>
        <v>176587.29553863435</v>
      </c>
      <c r="O36" s="407">
        <f t="shared" si="11"/>
        <v>2.0595679999999996</v>
      </c>
      <c r="P36" s="5"/>
      <c r="Q36" s="352">
        <f t="shared" si="0"/>
        <v>0</v>
      </c>
      <c r="R36" s="5">
        <f t="shared" si="1"/>
        <v>0</v>
      </c>
      <c r="S36" s="5">
        <f t="shared" si="2"/>
        <v>0</v>
      </c>
      <c r="T36" s="5">
        <f t="shared" si="3"/>
        <v>0</v>
      </c>
      <c r="U36" s="5">
        <f t="shared" si="4"/>
        <v>0</v>
      </c>
      <c r="V36" s="5"/>
      <c r="W36" s="5"/>
      <c r="X36" s="5"/>
      <c r="Y36" s="5"/>
    </row>
    <row r="37" spans="1:25" x14ac:dyDescent="0.2">
      <c r="A37" s="14">
        <v>8</v>
      </c>
      <c r="B37" s="399">
        <f>'Main Dimensions Calcs'!H14</f>
        <v>0</v>
      </c>
      <c r="C37" s="399">
        <f>'Main Dimensions Calcs'!J16</f>
        <v>0</v>
      </c>
      <c r="D37" s="399">
        <f>'Main Dimensions Calcs'!K14</f>
        <v>0</v>
      </c>
      <c r="E37" s="400">
        <f t="shared" si="12"/>
        <v>0</v>
      </c>
      <c r="F37" s="260">
        <f>F36-B36*C36*$B$22*PI()*$B$11/1000000-('Main Dimensions Calcs'!$D$74*'Main Dimensions Calcs'!$D$53*PI()/1000000000)*1.02*$B$11*D36</f>
        <v>80084.941287362512</v>
      </c>
      <c r="G37" s="401">
        <f t="shared" si="5"/>
        <v>1.4199999999999999E-2</v>
      </c>
      <c r="H37" s="5"/>
      <c r="I37" s="402">
        <v>8</v>
      </c>
      <c r="J37" s="430">
        <f t="shared" si="6"/>
        <v>0</v>
      </c>
      <c r="K37" s="431">
        <f t="shared" si="7"/>
        <v>0</v>
      </c>
      <c r="L37" s="404">
        <f t="shared" si="8"/>
        <v>0</v>
      </c>
      <c r="M37" s="405">
        <f t="shared" si="9"/>
        <v>0</v>
      </c>
      <c r="N37" s="406">
        <f t="shared" si="10"/>
        <v>176587.29553863435</v>
      </c>
      <c r="O37" s="407">
        <f t="shared" si="11"/>
        <v>2.0595679999999996</v>
      </c>
      <c r="P37" s="5"/>
      <c r="Q37" s="352">
        <f t="shared" si="0"/>
        <v>0</v>
      </c>
      <c r="R37" s="5">
        <f t="shared" si="1"/>
        <v>0</v>
      </c>
      <c r="S37" s="5">
        <f t="shared" si="2"/>
        <v>0</v>
      </c>
      <c r="T37" s="5">
        <f t="shared" si="3"/>
        <v>0</v>
      </c>
      <c r="U37" s="5">
        <f t="shared" si="4"/>
        <v>0</v>
      </c>
      <c r="V37" s="5"/>
      <c r="W37" s="5"/>
      <c r="X37" s="5"/>
      <c r="Y37" s="5"/>
    </row>
    <row r="38" spans="1:25" x14ac:dyDescent="0.2">
      <c r="A38" s="14">
        <v>9</v>
      </c>
      <c r="B38" s="399">
        <f>'Main Dimensions Calcs'!H15</f>
        <v>0</v>
      </c>
      <c r="C38" s="399">
        <f>'Main Dimensions Calcs'!I15</f>
        <v>0</v>
      </c>
      <c r="D38" s="399">
        <f>'Main Dimensions Calcs'!K15</f>
        <v>0</v>
      </c>
      <c r="E38" s="400">
        <f t="shared" si="12"/>
        <v>0</v>
      </c>
      <c r="F38" s="260">
        <f>F37-B37*C37*$B$22*PI()*$B$11/1000000</f>
        <v>80084.941287362512</v>
      </c>
      <c r="G38" s="401">
        <f t="shared" si="5"/>
        <v>1.4199999999999999E-2</v>
      </c>
      <c r="H38" s="5"/>
      <c r="I38" s="402">
        <v>9</v>
      </c>
      <c r="J38" s="430">
        <f t="shared" si="6"/>
        <v>0</v>
      </c>
      <c r="K38" s="431">
        <f t="shared" si="7"/>
        <v>0</v>
      </c>
      <c r="L38" s="404">
        <f t="shared" si="8"/>
        <v>0</v>
      </c>
      <c r="M38" s="405">
        <f t="shared" si="9"/>
        <v>0</v>
      </c>
      <c r="N38" s="406">
        <f t="shared" si="10"/>
        <v>176587.29553863435</v>
      </c>
      <c r="O38" s="407">
        <f t="shared" si="11"/>
        <v>2.0595679999999996</v>
      </c>
      <c r="P38" s="5"/>
      <c r="Q38" s="352">
        <f t="shared" si="0"/>
        <v>0</v>
      </c>
      <c r="R38" s="5">
        <f t="shared" si="1"/>
        <v>0</v>
      </c>
      <c r="S38" s="5"/>
      <c r="T38" s="5">
        <f t="shared" si="3"/>
        <v>0</v>
      </c>
      <c r="U38" s="5">
        <f t="shared" si="4"/>
        <v>0</v>
      </c>
      <c r="V38" s="5"/>
      <c r="W38" s="5"/>
      <c r="X38" s="5"/>
      <c r="Y38" s="5"/>
    </row>
    <row r="39" spans="1:25" x14ac:dyDescent="0.2">
      <c r="A39" s="14">
        <v>10</v>
      </c>
      <c r="B39" s="399"/>
      <c r="C39" s="399"/>
      <c r="D39" s="399"/>
      <c r="E39" s="400"/>
      <c r="F39" s="260"/>
      <c r="G39" s="401"/>
      <c r="H39" s="5"/>
      <c r="I39" s="402">
        <v>10</v>
      </c>
      <c r="J39" s="403"/>
      <c r="K39" s="403"/>
      <c r="L39" s="404"/>
      <c r="M39" s="405"/>
      <c r="N39" s="406"/>
      <c r="O39" s="407"/>
      <c r="P39" s="5"/>
      <c r="Q39" s="352">
        <f t="shared" si="0"/>
        <v>0</v>
      </c>
      <c r="R39" s="5">
        <f t="shared" si="1"/>
        <v>0</v>
      </c>
      <c r="S39" s="5"/>
      <c r="T39" s="5">
        <f t="shared" si="3"/>
        <v>0</v>
      </c>
      <c r="U39" s="5">
        <f t="shared" si="4"/>
        <v>0</v>
      </c>
      <c r="V39" s="5"/>
      <c r="W39" s="5"/>
      <c r="X39" s="5"/>
      <c r="Y39" s="5"/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3.5" customHeight="1" thickBo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7.25" customHeight="1" thickTop="1" thickBot="1" x14ac:dyDescent="0.3">
      <c r="A44" s="28"/>
      <c r="B44" s="4"/>
      <c r="C44" s="408"/>
      <c r="D44" s="934" t="str">
        <f>'Front Page'!$A$13</f>
        <v>Mechanical  Calculations</v>
      </c>
      <c r="E44" s="842"/>
      <c r="F44" s="842"/>
      <c r="G44" s="842"/>
      <c r="H44" s="859"/>
      <c r="I44" s="28"/>
      <c r="J44" s="4"/>
      <c r="K44" s="408"/>
      <c r="L44" s="934" t="str">
        <f>'Front Page'!$A$13</f>
        <v>Mechanical  Calculations</v>
      </c>
      <c r="M44" s="842"/>
      <c r="N44" s="842"/>
      <c r="O44" s="842"/>
      <c r="P44" s="859"/>
      <c r="Q44" s="5"/>
      <c r="R44" s="5"/>
      <c r="S44" s="5"/>
      <c r="T44" s="5"/>
      <c r="U44" s="5"/>
      <c r="V44" s="5"/>
      <c r="W44" s="5"/>
      <c r="X44" s="5"/>
      <c r="Y44" s="5"/>
    </row>
    <row r="45" spans="1:25" ht="16.5" customHeight="1" thickBot="1" x14ac:dyDescent="0.3">
      <c r="A45" s="6"/>
      <c r="B45" s="5"/>
      <c r="C45" s="14"/>
      <c r="D45" s="984"/>
      <c r="E45" s="831"/>
      <c r="F45" s="831"/>
      <c r="G45" s="831"/>
      <c r="H45" s="854"/>
      <c r="I45" s="6"/>
      <c r="J45" s="5"/>
      <c r="K45" s="14"/>
      <c r="L45" s="984"/>
      <c r="M45" s="831"/>
      <c r="N45" s="831"/>
      <c r="O45" s="831"/>
      <c r="P45" s="854"/>
      <c r="Q45" s="5"/>
      <c r="R45" s="5"/>
      <c r="S45" s="5"/>
      <c r="T45" s="5"/>
      <c r="U45" s="5"/>
      <c r="V45" s="5"/>
      <c r="W45" s="5"/>
      <c r="X45" s="5"/>
      <c r="Y45" s="5"/>
    </row>
    <row r="46" spans="1:25" ht="16.5" customHeight="1" thickBot="1" x14ac:dyDescent="0.3">
      <c r="A46" s="8"/>
      <c r="B46" s="9"/>
      <c r="C46" s="409"/>
      <c r="D46" s="985" t="s">
        <v>882</v>
      </c>
      <c r="E46" s="834"/>
      <c r="F46" s="834"/>
      <c r="G46" s="834"/>
      <c r="H46" s="986"/>
      <c r="I46" s="8"/>
      <c r="J46" s="9"/>
      <c r="K46" s="409"/>
      <c r="L46" s="985" t="s">
        <v>882</v>
      </c>
      <c r="M46" s="834"/>
      <c r="N46" s="834"/>
      <c r="O46" s="834"/>
      <c r="P46" s="986"/>
      <c r="Q46" s="5"/>
      <c r="R46" s="5"/>
      <c r="S46" s="5"/>
      <c r="T46" s="5"/>
      <c r="U46" s="5"/>
      <c r="V46" s="5"/>
      <c r="W46" s="5"/>
      <c r="X46" s="5"/>
      <c r="Y46" s="5"/>
    </row>
    <row r="47" spans="1:25" ht="16.5" customHeight="1" thickTop="1" thickBot="1" x14ac:dyDescent="0.3">
      <c r="A47" s="873"/>
      <c r="B47" s="848"/>
      <c r="C47" s="865"/>
      <c r="D47" s="385" t="str">
        <f>'Front Page'!$D$4</f>
        <v>Doc Nº</v>
      </c>
      <c r="E47" s="980"/>
      <c r="F47" s="843"/>
      <c r="G47" s="980"/>
      <c r="H47" s="843"/>
      <c r="I47" s="873"/>
      <c r="J47" s="848"/>
      <c r="K47" s="865"/>
      <c r="L47" s="385" t="str">
        <f>'Front Page'!$D$4</f>
        <v>Doc Nº</v>
      </c>
      <c r="M47" s="980"/>
      <c r="N47" s="843"/>
      <c r="O47" s="980"/>
      <c r="P47" s="843"/>
      <c r="Q47" s="5"/>
      <c r="R47" s="5"/>
      <c r="S47" s="5"/>
      <c r="T47" s="5"/>
      <c r="U47" s="5"/>
      <c r="V47" s="5"/>
      <c r="W47" s="5"/>
      <c r="X47" s="5"/>
      <c r="Y47" s="5"/>
    </row>
    <row r="48" spans="1:25" ht="15.75" customHeight="1" thickBot="1" x14ac:dyDescent="0.3">
      <c r="A48" s="860"/>
      <c r="B48" s="851"/>
      <c r="C48" s="861"/>
      <c r="D48" s="386" t="str">
        <f>'Front Page'!$D$5</f>
        <v>Project</v>
      </c>
      <c r="E48" s="981"/>
      <c r="F48" s="835"/>
      <c r="G48" s="131" t="s">
        <v>5</v>
      </c>
      <c r="H48" s="132"/>
      <c r="I48" s="860"/>
      <c r="J48" s="851"/>
      <c r="K48" s="861"/>
      <c r="L48" s="386" t="str">
        <f>'Front Page'!$D$5</f>
        <v>Project</v>
      </c>
      <c r="M48" s="981"/>
      <c r="N48" s="835"/>
      <c r="O48" s="131" t="s">
        <v>5</v>
      </c>
      <c r="P48" s="427"/>
      <c r="Q48" s="5"/>
      <c r="R48" s="5"/>
      <c r="S48" s="5"/>
      <c r="T48" s="5"/>
      <c r="U48" s="5"/>
      <c r="V48" s="5"/>
      <c r="W48" s="5"/>
      <c r="X48" s="5"/>
      <c r="Y48" s="5"/>
    </row>
    <row r="49" spans="1:25" ht="13.5" customHeight="1" thickTop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5"/>
      <c r="R49" s="5"/>
      <c r="S49" s="5"/>
      <c r="T49" s="5"/>
      <c r="U49" s="5"/>
      <c r="V49" s="5"/>
      <c r="W49" s="5"/>
      <c r="X49" s="5"/>
      <c r="Y49" s="5"/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x14ac:dyDescent="0.2">
      <c r="A51" s="976" t="s">
        <v>927</v>
      </c>
      <c r="B51" s="809"/>
      <c r="C51" s="809"/>
      <c r="D51" s="809"/>
      <c r="E51" s="809"/>
      <c r="F51" s="809"/>
      <c r="G51" s="809"/>
      <c r="H51" s="809"/>
      <c r="I51" s="976" t="s">
        <v>927</v>
      </c>
      <c r="J51" s="809"/>
      <c r="K51" s="809"/>
      <c r="L51" s="809"/>
      <c r="M51" s="809"/>
      <c r="N51" s="809"/>
      <c r="O51" s="809"/>
      <c r="P51" s="809"/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809"/>
      <c r="B52" s="809"/>
      <c r="C52" s="809"/>
      <c r="D52" s="809"/>
      <c r="E52" s="809"/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  <c r="Q52" s="5"/>
      <c r="R52" s="5"/>
      <c r="S52" s="5"/>
      <c r="T52" s="5"/>
      <c r="U52" s="5"/>
      <c r="V52" s="5"/>
      <c r="W52" s="5"/>
      <c r="X52" s="5"/>
      <c r="Y52" s="5"/>
    </row>
    <row r="53" spans="1:25" x14ac:dyDescent="0.2">
      <c r="A53" s="809"/>
      <c r="B53" s="809"/>
      <c r="C53" s="809"/>
      <c r="D53" s="809"/>
      <c r="E53" s="809"/>
      <c r="F53" s="809"/>
      <c r="G53" s="809"/>
      <c r="H53" s="809"/>
      <c r="I53" s="809"/>
      <c r="J53" s="809"/>
      <c r="K53" s="809"/>
      <c r="L53" s="809"/>
      <c r="M53" s="809"/>
      <c r="N53" s="809"/>
      <c r="O53" s="809"/>
      <c r="P53" s="809"/>
      <c r="Q53" s="5"/>
      <c r="R53" s="5"/>
      <c r="S53" s="5"/>
      <c r="T53" s="5"/>
      <c r="U53" s="5"/>
      <c r="V53" s="5"/>
      <c r="W53" s="5"/>
      <c r="X53" s="5"/>
      <c r="Y53" s="5"/>
    </row>
    <row r="54" spans="1:25" ht="24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3.5" customHeight="1" x14ac:dyDescent="0.2">
      <c r="A55" s="932" t="s">
        <v>928</v>
      </c>
      <c r="B55" s="5"/>
      <c r="C55" s="5"/>
      <c r="D55" s="932" t="s">
        <v>929</v>
      </c>
      <c r="E55" s="809"/>
      <c r="F55" s="5"/>
      <c r="G55" s="5"/>
      <c r="H55" s="5"/>
      <c r="I55" s="977" t="s">
        <v>928</v>
      </c>
      <c r="J55" s="411"/>
      <c r="K55" s="411"/>
      <c r="L55" s="977" t="s">
        <v>929</v>
      </c>
      <c r="M55" s="916"/>
      <c r="N55" s="979" t="s">
        <v>930</v>
      </c>
      <c r="O55" s="916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x14ac:dyDescent="0.2">
      <c r="A56" s="809"/>
      <c r="B56" s="808" t="s">
        <v>931</v>
      </c>
      <c r="C56" s="809"/>
      <c r="D56" s="809"/>
      <c r="E56" s="809"/>
      <c r="F56" s="808" t="s">
        <v>930</v>
      </c>
      <c r="G56" s="809"/>
      <c r="H56" s="5"/>
      <c r="I56" s="906"/>
      <c r="J56" s="978" t="s">
        <v>931</v>
      </c>
      <c r="K56" s="813"/>
      <c r="L56" s="904"/>
      <c r="M56" s="917"/>
      <c r="N56" s="904"/>
      <c r="O56" s="917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x14ac:dyDescent="0.2">
      <c r="A57" s="413" t="s">
        <v>546</v>
      </c>
      <c r="B57" s="14" t="s">
        <v>932</v>
      </c>
      <c r="C57" s="14" t="s">
        <v>933</v>
      </c>
      <c r="D57" s="14" t="s">
        <v>934</v>
      </c>
      <c r="E57" s="14" t="s">
        <v>935</v>
      </c>
      <c r="F57" s="14" t="s">
        <v>936</v>
      </c>
      <c r="G57" s="14" t="s">
        <v>937</v>
      </c>
      <c r="H57" s="5"/>
      <c r="I57" s="414" t="s">
        <v>546</v>
      </c>
      <c r="J57" s="412" t="s">
        <v>932</v>
      </c>
      <c r="K57" s="412" t="s">
        <v>933</v>
      </c>
      <c r="L57" s="412" t="s">
        <v>934</v>
      </c>
      <c r="M57" s="412" t="s">
        <v>935</v>
      </c>
      <c r="N57" s="415" t="s">
        <v>938</v>
      </c>
      <c r="O57" s="415" t="s">
        <v>939</v>
      </c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x14ac:dyDescent="0.2">
      <c r="A58" s="5"/>
      <c r="B58" s="170" t="s">
        <v>940</v>
      </c>
      <c r="C58" s="14" t="s">
        <v>940</v>
      </c>
      <c r="D58" s="14" t="s">
        <v>247</v>
      </c>
      <c r="E58" s="14" t="s">
        <v>247</v>
      </c>
      <c r="F58" s="14" t="s">
        <v>941</v>
      </c>
      <c r="G58" s="14" t="s">
        <v>941</v>
      </c>
      <c r="H58" s="5"/>
      <c r="I58" s="289"/>
      <c r="J58" s="402" t="s">
        <v>940</v>
      </c>
      <c r="K58" s="402" t="s">
        <v>940</v>
      </c>
      <c r="L58" s="416" t="s">
        <v>248</v>
      </c>
      <c r="M58" s="416" t="s">
        <v>248</v>
      </c>
      <c r="N58" s="140" t="s">
        <v>926</v>
      </c>
      <c r="O58" s="140" t="s">
        <v>926</v>
      </c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14">
        <v>1</v>
      </c>
      <c r="B59" s="260">
        <f t="shared" ref="B59:B67" si="13">$B$22/4*(G30*1000000+F30*9.8/($B$22^2*PI()/4))</f>
        <v>268024.86777052988</v>
      </c>
      <c r="C59" s="260">
        <f t="shared" ref="C59:C67" si="14">G30*$B$22*1000000/2</f>
        <v>501043.91199999995</v>
      </c>
      <c r="D59" s="417">
        <f t="shared" ref="D59:D67" si="15">B59*1000/($B$17*1000000)/$B$21</f>
        <v>1.7277478587305621</v>
      </c>
      <c r="E59" s="417">
        <f t="shared" ref="E59:E67" si="16">C59*1000/($B$17*1000000)/$B$20</f>
        <v>3.229840399843555</v>
      </c>
      <c r="F59" s="418">
        <f t="shared" ref="F59:F67" si="17">B59/B30/$B$21/1000</f>
        <v>33.503108471316231</v>
      </c>
      <c r="G59" s="418">
        <f t="shared" ref="G59:G67" si="18">C59/B30/$B$20/1000</f>
        <v>62.630488999999997</v>
      </c>
      <c r="H59" s="5"/>
      <c r="I59" s="402">
        <v>1</v>
      </c>
      <c r="J59" s="406">
        <f t="shared" ref="J59:J67" si="19">B59</f>
        <v>268024.86777052988</v>
      </c>
      <c r="K59" s="406">
        <f t="shared" ref="K59:K67" si="20">C59</f>
        <v>501043.91199999995</v>
      </c>
      <c r="L59" s="407">
        <f t="shared" ref="L59:L67" si="21">D59/25.4</f>
        <v>6.8021569241360713E-2</v>
      </c>
      <c r="M59" s="407">
        <f t="shared" ref="M59:M67" si="22">E59/25.4</f>
        <v>0.12715907085998249</v>
      </c>
      <c r="N59" s="419">
        <f t="shared" ref="N59:N67" si="23">F59*145.04</f>
        <v>4859.2908526797055</v>
      </c>
      <c r="O59" s="419">
        <f t="shared" ref="O59:O67" si="24">G59*145.04</f>
        <v>9083.9261245599992</v>
      </c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x14ac:dyDescent="0.2">
      <c r="A60" s="14">
        <v>2</v>
      </c>
      <c r="B60" s="260">
        <f t="shared" si="13"/>
        <v>185114.98617052991</v>
      </c>
      <c r="C60" s="260">
        <f t="shared" si="14"/>
        <v>337924.87199999997</v>
      </c>
      <c r="D60" s="417">
        <f t="shared" si="15"/>
        <v>1.1932923375188291</v>
      </c>
      <c r="E60" s="417">
        <f t="shared" si="16"/>
        <v>2.1783388193279998</v>
      </c>
      <c r="F60" s="418">
        <f t="shared" si="17"/>
        <v>23.139373271316238</v>
      </c>
      <c r="G60" s="418">
        <f t="shared" si="18"/>
        <v>42.240608999999999</v>
      </c>
      <c r="H60" s="5"/>
      <c r="I60" s="402">
        <v>2</v>
      </c>
      <c r="J60" s="406">
        <f t="shared" si="19"/>
        <v>185114.98617052991</v>
      </c>
      <c r="K60" s="406">
        <f t="shared" si="20"/>
        <v>337924.87199999997</v>
      </c>
      <c r="L60" s="407">
        <f t="shared" si="21"/>
        <v>4.6980013288142879E-2</v>
      </c>
      <c r="M60" s="407">
        <f t="shared" si="22"/>
        <v>8.5761370839685033E-2</v>
      </c>
      <c r="N60" s="419">
        <f t="shared" si="23"/>
        <v>3356.1346992717072</v>
      </c>
      <c r="O60" s="419">
        <f t="shared" si="24"/>
        <v>6126.5779293599999</v>
      </c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x14ac:dyDescent="0.2">
      <c r="A61" s="14">
        <v>3</v>
      </c>
      <c r="B61" s="260">
        <f t="shared" si="13"/>
        <v>102109.14297052989</v>
      </c>
      <c r="C61" s="260">
        <f t="shared" si="14"/>
        <v>174805.83199999999</v>
      </c>
      <c r="D61" s="417">
        <f t="shared" si="15"/>
        <v>0.65821822650869577</v>
      </c>
      <c r="E61" s="417">
        <f t="shared" si="16"/>
        <v>1.1268372388124444</v>
      </c>
      <c r="F61" s="418">
        <f t="shared" si="17"/>
        <v>12.763642871316236</v>
      </c>
      <c r="G61" s="418">
        <f t="shared" si="18"/>
        <v>21.850728999999998</v>
      </c>
      <c r="H61" s="5"/>
      <c r="I61" s="402">
        <v>3</v>
      </c>
      <c r="J61" s="406">
        <f t="shared" si="19"/>
        <v>102109.14297052989</v>
      </c>
      <c r="K61" s="406">
        <f t="shared" si="20"/>
        <v>174805.83199999999</v>
      </c>
      <c r="L61" s="407">
        <f t="shared" si="21"/>
        <v>2.5914103405854167E-2</v>
      </c>
      <c r="M61" s="407">
        <f t="shared" si="22"/>
        <v>4.4363670819387573E-2</v>
      </c>
      <c r="N61" s="419">
        <f t="shared" si="23"/>
        <v>1851.2387620557067</v>
      </c>
      <c r="O61" s="419">
        <f t="shared" si="24"/>
        <v>3169.2297341599997</v>
      </c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2">
      <c r="A62" s="14">
        <v>4</v>
      </c>
      <c r="B62" s="260">
        <f t="shared" si="13"/>
        <v>86389.903770529883</v>
      </c>
      <c r="C62" s="260">
        <f t="shared" si="14"/>
        <v>146260</v>
      </c>
      <c r="D62" s="417">
        <f t="shared" si="15"/>
        <v>0.55688851746122903</v>
      </c>
      <c r="E62" s="417">
        <f t="shared" si="16"/>
        <v>0.94282446222222216</v>
      </c>
      <c r="F62" s="418">
        <f t="shared" si="17"/>
        <v>10.798737971316235</v>
      </c>
      <c r="G62" s="418">
        <f t="shared" si="18"/>
        <v>18.282499999999999</v>
      </c>
      <c r="H62" s="5"/>
      <c r="I62" s="402">
        <v>4</v>
      </c>
      <c r="J62" s="406">
        <f t="shared" si="19"/>
        <v>86389.903770529883</v>
      </c>
      <c r="K62" s="406">
        <f t="shared" si="20"/>
        <v>146260</v>
      </c>
      <c r="L62" s="407">
        <f t="shared" si="21"/>
        <v>2.1924744781938153E-2</v>
      </c>
      <c r="M62" s="407">
        <f t="shared" si="22"/>
        <v>3.711907331583552E-2</v>
      </c>
      <c r="N62" s="419">
        <f t="shared" si="23"/>
        <v>1566.2489553597068</v>
      </c>
      <c r="O62" s="419">
        <f t="shared" si="24"/>
        <v>2651.6937999999996</v>
      </c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2">
      <c r="A63" s="14">
        <v>5</v>
      </c>
      <c r="B63" s="260">
        <f t="shared" si="13"/>
        <v>85257.18057052989</v>
      </c>
      <c r="C63" s="260">
        <f t="shared" si="14"/>
        <v>146260</v>
      </c>
      <c r="D63" s="417">
        <f t="shared" si="15"/>
        <v>0.54958673199776242</v>
      </c>
      <c r="E63" s="417">
        <f t="shared" si="16"/>
        <v>0.94282446222222216</v>
      </c>
      <c r="F63" s="418" t="e">
        <f t="shared" si="17"/>
        <v>#DIV/0!</v>
      </c>
      <c r="G63" s="418" t="e">
        <f t="shared" si="18"/>
        <v>#DIV/0!</v>
      </c>
      <c r="H63" s="5"/>
      <c r="I63" s="402">
        <v>5</v>
      </c>
      <c r="J63" s="406">
        <f t="shared" si="19"/>
        <v>85257.18057052989</v>
      </c>
      <c r="K63" s="406">
        <f t="shared" si="20"/>
        <v>146260</v>
      </c>
      <c r="L63" s="407">
        <f t="shared" si="21"/>
        <v>2.1637272913297735E-2</v>
      </c>
      <c r="M63" s="407">
        <f t="shared" si="22"/>
        <v>3.711907331583552E-2</v>
      </c>
      <c r="N63" s="419" t="e">
        <f t="shared" si="23"/>
        <v>#DIV/0!</v>
      </c>
      <c r="O63" s="419" t="e">
        <f t="shared" si="24"/>
        <v>#DIV/0!</v>
      </c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14">
        <v>6</v>
      </c>
      <c r="B64" s="260">
        <f t="shared" si="13"/>
        <v>85257.18057052989</v>
      </c>
      <c r="C64" s="260">
        <f t="shared" si="14"/>
        <v>146260</v>
      </c>
      <c r="D64" s="417">
        <f t="shared" si="15"/>
        <v>0.54958673199776242</v>
      </c>
      <c r="E64" s="417">
        <f t="shared" si="16"/>
        <v>0.94282446222222216</v>
      </c>
      <c r="F64" s="418" t="e">
        <f t="shared" si="17"/>
        <v>#DIV/0!</v>
      </c>
      <c r="G64" s="418" t="e">
        <f t="shared" si="18"/>
        <v>#DIV/0!</v>
      </c>
      <c r="H64" s="5"/>
      <c r="I64" s="402">
        <v>6</v>
      </c>
      <c r="J64" s="406">
        <f t="shared" si="19"/>
        <v>85257.18057052989</v>
      </c>
      <c r="K64" s="406">
        <f t="shared" si="20"/>
        <v>146260</v>
      </c>
      <c r="L64" s="407">
        <f t="shared" si="21"/>
        <v>2.1637272913297735E-2</v>
      </c>
      <c r="M64" s="407">
        <f t="shared" si="22"/>
        <v>3.711907331583552E-2</v>
      </c>
      <c r="N64" s="419" t="e">
        <f t="shared" si="23"/>
        <v>#DIV/0!</v>
      </c>
      <c r="O64" s="419" t="e">
        <f t="shared" si="24"/>
        <v>#DIV/0!</v>
      </c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14">
        <v>7</v>
      </c>
      <c r="B65" s="260">
        <f t="shared" si="13"/>
        <v>85257.18057052989</v>
      </c>
      <c r="C65" s="260">
        <f t="shared" si="14"/>
        <v>146260</v>
      </c>
      <c r="D65" s="417">
        <f t="shared" si="15"/>
        <v>0.54958673199776242</v>
      </c>
      <c r="E65" s="417">
        <f t="shared" si="16"/>
        <v>0.94282446222222216</v>
      </c>
      <c r="F65" s="418" t="e">
        <f t="shared" si="17"/>
        <v>#DIV/0!</v>
      </c>
      <c r="G65" s="418" t="e">
        <f t="shared" si="18"/>
        <v>#DIV/0!</v>
      </c>
      <c r="H65" s="5"/>
      <c r="I65" s="402">
        <v>7</v>
      </c>
      <c r="J65" s="406">
        <f t="shared" si="19"/>
        <v>85257.18057052989</v>
      </c>
      <c r="K65" s="406">
        <f t="shared" si="20"/>
        <v>146260</v>
      </c>
      <c r="L65" s="407">
        <f t="shared" si="21"/>
        <v>2.1637272913297735E-2</v>
      </c>
      <c r="M65" s="407">
        <f t="shared" si="22"/>
        <v>3.711907331583552E-2</v>
      </c>
      <c r="N65" s="419" t="e">
        <f t="shared" si="23"/>
        <v>#DIV/0!</v>
      </c>
      <c r="O65" s="419" t="e">
        <f t="shared" si="24"/>
        <v>#DIV/0!</v>
      </c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14">
        <v>8</v>
      </c>
      <c r="B66" s="260">
        <f t="shared" si="13"/>
        <v>85257.18057052989</v>
      </c>
      <c r="C66" s="260">
        <f t="shared" si="14"/>
        <v>146260</v>
      </c>
      <c r="D66" s="417">
        <f t="shared" si="15"/>
        <v>0.54958673199776242</v>
      </c>
      <c r="E66" s="417">
        <f t="shared" si="16"/>
        <v>0.94282446222222216</v>
      </c>
      <c r="F66" s="418" t="e">
        <f t="shared" si="17"/>
        <v>#DIV/0!</v>
      </c>
      <c r="G66" s="418" t="e">
        <f t="shared" si="18"/>
        <v>#DIV/0!</v>
      </c>
      <c r="H66" s="5"/>
      <c r="I66" s="402">
        <v>8</v>
      </c>
      <c r="J66" s="406">
        <f t="shared" si="19"/>
        <v>85257.18057052989</v>
      </c>
      <c r="K66" s="406">
        <f t="shared" si="20"/>
        <v>146260</v>
      </c>
      <c r="L66" s="407">
        <f t="shared" si="21"/>
        <v>2.1637272913297735E-2</v>
      </c>
      <c r="M66" s="407">
        <f t="shared" si="22"/>
        <v>3.711907331583552E-2</v>
      </c>
      <c r="N66" s="419" t="e">
        <f t="shared" si="23"/>
        <v>#DIV/0!</v>
      </c>
      <c r="O66" s="419" t="e">
        <f t="shared" si="24"/>
        <v>#DIV/0!</v>
      </c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7.25" customHeight="1" x14ac:dyDescent="0.2">
      <c r="A67" s="14">
        <v>9</v>
      </c>
      <c r="B67" s="260">
        <f t="shared" si="13"/>
        <v>85257.18057052989</v>
      </c>
      <c r="C67" s="260">
        <f t="shared" si="14"/>
        <v>146260</v>
      </c>
      <c r="D67" s="417">
        <f t="shared" si="15"/>
        <v>0.54958673199776242</v>
      </c>
      <c r="E67" s="417">
        <f t="shared" si="16"/>
        <v>0.94282446222222216</v>
      </c>
      <c r="F67" s="418" t="e">
        <f t="shared" si="17"/>
        <v>#DIV/0!</v>
      </c>
      <c r="G67" s="418" t="e">
        <f t="shared" si="18"/>
        <v>#DIV/0!</v>
      </c>
      <c r="H67" s="5"/>
      <c r="I67" s="432">
        <v>9</v>
      </c>
      <c r="J67" s="406">
        <f t="shared" si="19"/>
        <v>85257.18057052989</v>
      </c>
      <c r="K67" s="406">
        <f t="shared" si="20"/>
        <v>146260</v>
      </c>
      <c r="L67" s="407">
        <f t="shared" si="21"/>
        <v>2.1637272913297735E-2</v>
      </c>
      <c r="M67" s="407">
        <f t="shared" si="22"/>
        <v>3.711907331583552E-2</v>
      </c>
      <c r="N67" s="419" t="e">
        <f t="shared" si="23"/>
        <v>#DIV/0!</v>
      </c>
      <c r="O67" s="419" t="e">
        <f t="shared" si="24"/>
        <v>#DIV/0!</v>
      </c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" customHeight="1" x14ac:dyDescent="0.25">
      <c r="A68" s="5"/>
      <c r="B68" s="5"/>
      <c r="C68" s="5"/>
      <c r="D68" s="5"/>
      <c r="E68" s="5"/>
      <c r="F68" s="5"/>
      <c r="G68" s="5"/>
      <c r="H68" s="5"/>
      <c r="I68" s="420" t="s">
        <v>942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" customHeight="1" x14ac:dyDescent="0.25">
      <c r="A69" s="420" t="s">
        <v>942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2.75" customHeight="1" x14ac:dyDescent="0.25">
      <c r="A70" s="420"/>
      <c r="B70" s="5"/>
      <c r="C70" s="5"/>
      <c r="D70" s="5"/>
      <c r="E70" s="5"/>
      <c r="F70" s="5"/>
      <c r="G70" s="5"/>
      <c r="H70" s="5"/>
      <c r="I70" s="420"/>
      <c r="J70" s="111" t="s">
        <v>256</v>
      </c>
      <c r="K70" s="5"/>
      <c r="L70" s="5"/>
      <c r="M70" s="64" t="s">
        <v>943</v>
      </c>
      <c r="N70" s="5"/>
      <c r="O70" s="5" t="s">
        <v>944</v>
      </c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2.6" customHeight="1" x14ac:dyDescent="0.2">
      <c r="A71" s="5"/>
      <c r="B71" s="111" t="s">
        <v>256</v>
      </c>
      <c r="C71" s="5"/>
      <c r="D71" s="5"/>
      <c r="E71" s="5" t="s">
        <v>945</v>
      </c>
      <c r="F71" s="5"/>
      <c r="G71" s="5" t="s">
        <v>944</v>
      </c>
      <c r="H71" s="5"/>
      <c r="I71" s="5"/>
      <c r="J71" s="298" t="s">
        <v>253</v>
      </c>
      <c r="K71" s="413" t="s">
        <v>946</v>
      </c>
      <c r="L71" s="421"/>
      <c r="M71" s="421" t="s">
        <v>947</v>
      </c>
      <c r="N71" s="421"/>
      <c r="O71" s="421" t="s">
        <v>948</v>
      </c>
      <c r="P71" s="421"/>
      <c r="Q71" s="5"/>
      <c r="R71" s="5"/>
      <c r="S71" s="5"/>
      <c r="T71" s="5"/>
      <c r="U71" s="5"/>
      <c r="V71" s="5"/>
      <c r="W71" s="5"/>
      <c r="X71" s="5"/>
      <c r="Y71" s="5"/>
    </row>
    <row r="72" spans="1:25" x14ac:dyDescent="0.2">
      <c r="A72" s="5"/>
      <c r="B72" s="298" t="s">
        <v>253</v>
      </c>
      <c r="C72" s="413" t="s">
        <v>946</v>
      </c>
      <c r="D72" s="421"/>
      <c r="E72" s="421" t="s">
        <v>947</v>
      </c>
      <c r="F72" s="421"/>
      <c r="G72" s="421" t="s">
        <v>948</v>
      </c>
      <c r="H72" s="421"/>
      <c r="I72" s="5"/>
      <c r="J72" s="14">
        <v>1</v>
      </c>
      <c r="K72" s="417">
        <f t="shared" ref="K72:K80" si="25">J30/MAX(L59,M59)</f>
        <v>2.4769025740056687</v>
      </c>
      <c r="L72" s="264" t="str">
        <f t="shared" ref="L72:L80" si="26">IF(J30&gt;0,IF(K72&gt;1,"OK","ERROR"),"N/A")</f>
        <v>OK</v>
      </c>
      <c r="M72" s="422" t="s">
        <v>949</v>
      </c>
      <c r="N72" s="422"/>
      <c r="O72" s="422" t="str">
        <f>IF(O59&gt;$J$19*0.1,"Full Radiographic","Spot Radiographic")</f>
        <v>Full Radiographic</v>
      </c>
      <c r="P72" s="422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2">
      <c r="A73" s="5"/>
      <c r="B73" s="14">
        <v>1</v>
      </c>
      <c r="C73" s="417">
        <f t="shared" ref="C73:C81" si="27">B30/MAX(D59,E59)</f>
        <v>2.4769025740056687</v>
      </c>
      <c r="D73" s="264" t="str">
        <f t="shared" ref="D73:D81" si="28">IF(B30&gt;0,IF(C73&gt;1,"OK","ERROR"),"N/A")</f>
        <v>OK</v>
      </c>
      <c r="E73" s="422" t="s">
        <v>949</v>
      </c>
      <c r="F73" s="422"/>
      <c r="G73" s="422" t="str">
        <f t="shared" ref="G73:G81" si="29">IF(G59&gt;$B$19*0.1,"Full Radiographic","Spot Radiographic")</f>
        <v>Full Radiographic</v>
      </c>
      <c r="H73" s="422"/>
      <c r="I73" s="5"/>
      <c r="J73" s="14">
        <v>2</v>
      </c>
      <c r="K73" s="417">
        <f t="shared" si="25"/>
        <v>3.6725232681975233</v>
      </c>
      <c r="L73" s="264" t="str">
        <f t="shared" si="26"/>
        <v>OK</v>
      </c>
      <c r="M73" s="422" t="str">
        <f t="shared" ref="M73:M80" si="30">E74</f>
        <v>Spot Radiographic</v>
      </c>
      <c r="N73" s="422"/>
      <c r="O73" s="422" t="str">
        <f t="shared" ref="O73:O80" si="31">G74</f>
        <v>Spot Radiographic</v>
      </c>
      <c r="P73" s="422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">
      <c r="A74" s="5"/>
      <c r="B74" s="14">
        <v>2</v>
      </c>
      <c r="C74" s="417">
        <f t="shared" si="27"/>
        <v>3.6725232681975233</v>
      </c>
      <c r="D74" s="264" t="str">
        <f t="shared" si="28"/>
        <v>OK</v>
      </c>
      <c r="E74" s="422" t="str">
        <f t="shared" ref="E74:E81" si="32">IF(F60&gt;$B$19*0.1,"Full Radiographic","Spot Radiographic")</f>
        <v>Spot Radiographic</v>
      </c>
      <c r="F74" s="422"/>
      <c r="G74" s="422" t="str">
        <f t="shared" si="29"/>
        <v>Spot Radiographic</v>
      </c>
      <c r="H74" s="422"/>
      <c r="I74" s="5"/>
      <c r="J74" s="14">
        <v>3</v>
      </c>
      <c r="K74" s="417">
        <f t="shared" si="25"/>
        <v>7.0995168818090102</v>
      </c>
      <c r="L74" s="264" t="str">
        <f t="shared" si="26"/>
        <v>OK</v>
      </c>
      <c r="M74" s="422" t="str">
        <f t="shared" si="30"/>
        <v>Spot Radiographic</v>
      </c>
      <c r="N74" s="422"/>
      <c r="O74" s="422" t="str">
        <f t="shared" si="31"/>
        <v>Spot Radiographic</v>
      </c>
      <c r="P74" s="422"/>
      <c r="Q74" s="5"/>
      <c r="R74" s="5"/>
      <c r="S74" s="5"/>
      <c r="T74" s="5"/>
      <c r="U74" s="5"/>
      <c r="V74" s="5"/>
      <c r="W74" s="5"/>
      <c r="X74" s="5"/>
      <c r="Y74" s="5"/>
    </row>
    <row r="75" spans="1:25" x14ac:dyDescent="0.2">
      <c r="A75" s="5"/>
      <c r="B75" s="14">
        <v>3</v>
      </c>
      <c r="C75" s="417">
        <f t="shared" si="27"/>
        <v>7.0995168818090102</v>
      </c>
      <c r="D75" s="264" t="str">
        <f t="shared" si="28"/>
        <v>OK</v>
      </c>
      <c r="E75" s="422" t="str">
        <f t="shared" si="32"/>
        <v>Spot Radiographic</v>
      </c>
      <c r="F75" s="422"/>
      <c r="G75" s="422" t="str">
        <f t="shared" si="29"/>
        <v>Spot Radiographic</v>
      </c>
      <c r="H75" s="422"/>
      <c r="I75" s="5"/>
      <c r="J75" s="14">
        <v>4</v>
      </c>
      <c r="K75" s="417">
        <f t="shared" si="25"/>
        <v>8.4851425907470919</v>
      </c>
      <c r="L75" s="264" t="str">
        <f t="shared" si="26"/>
        <v>OK</v>
      </c>
      <c r="M75" s="422" t="str">
        <f t="shared" si="30"/>
        <v>Spot Radiographic</v>
      </c>
      <c r="N75" s="422"/>
      <c r="O75" s="422" t="str">
        <f t="shared" si="31"/>
        <v>Spot Radiographic</v>
      </c>
      <c r="P75" s="422"/>
      <c r="Q75" s="5"/>
      <c r="R75" s="5"/>
      <c r="S75" s="5"/>
      <c r="T75" s="5"/>
      <c r="U75" s="5"/>
      <c r="V75" s="5"/>
      <c r="W75" s="5"/>
      <c r="X75" s="5"/>
      <c r="Y75" s="5"/>
    </row>
    <row r="76" spans="1:25" x14ac:dyDescent="0.2">
      <c r="A76" s="5"/>
      <c r="B76" s="14">
        <v>4</v>
      </c>
      <c r="C76" s="417">
        <f t="shared" si="27"/>
        <v>8.4851425907470919</v>
      </c>
      <c r="D76" s="264" t="str">
        <f t="shared" si="28"/>
        <v>OK</v>
      </c>
      <c r="E76" s="422" t="str">
        <f t="shared" si="32"/>
        <v>Spot Radiographic</v>
      </c>
      <c r="F76" s="422"/>
      <c r="G76" s="422" t="str">
        <f t="shared" si="29"/>
        <v>Spot Radiographic</v>
      </c>
      <c r="H76" s="422"/>
      <c r="I76" s="5"/>
      <c r="J76" s="14">
        <v>5</v>
      </c>
      <c r="K76" s="417">
        <f t="shared" si="25"/>
        <v>0</v>
      </c>
      <c r="L76" s="264" t="str">
        <f t="shared" si="26"/>
        <v>N/A</v>
      </c>
      <c r="M76" s="422" t="e">
        <f t="shared" si="30"/>
        <v>#DIV/0!</v>
      </c>
      <c r="N76" s="422"/>
      <c r="O76" s="422" t="e">
        <f t="shared" si="31"/>
        <v>#DIV/0!</v>
      </c>
      <c r="P76" s="422"/>
      <c r="Q76" s="5"/>
      <c r="R76" s="5"/>
      <c r="S76" s="5"/>
      <c r="T76" s="5"/>
      <c r="U76" s="5"/>
      <c r="V76" s="5"/>
      <c r="W76" s="5"/>
      <c r="X76" s="5"/>
      <c r="Y76" s="5"/>
    </row>
    <row r="77" spans="1:25" x14ac:dyDescent="0.2">
      <c r="A77" s="5"/>
      <c r="B77" s="14">
        <v>5</v>
      </c>
      <c r="C77" s="417">
        <f t="shared" si="27"/>
        <v>0</v>
      </c>
      <c r="D77" s="264" t="str">
        <f t="shared" si="28"/>
        <v>N/A</v>
      </c>
      <c r="E77" s="422" t="e">
        <f t="shared" si="32"/>
        <v>#DIV/0!</v>
      </c>
      <c r="F77" s="422"/>
      <c r="G77" s="422" t="e">
        <f t="shared" si="29"/>
        <v>#DIV/0!</v>
      </c>
      <c r="H77" s="422"/>
      <c r="I77" s="5"/>
      <c r="J77" s="14">
        <v>6</v>
      </c>
      <c r="K77" s="417">
        <f t="shared" si="25"/>
        <v>0</v>
      </c>
      <c r="L77" s="264" t="str">
        <f t="shared" si="26"/>
        <v>N/A</v>
      </c>
      <c r="M77" s="422" t="e">
        <f t="shared" si="30"/>
        <v>#DIV/0!</v>
      </c>
      <c r="N77" s="422"/>
      <c r="O77" s="422" t="e">
        <f t="shared" si="31"/>
        <v>#DIV/0!</v>
      </c>
      <c r="P77" s="422"/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2">
      <c r="A78" s="5"/>
      <c r="B78" s="14">
        <v>6</v>
      </c>
      <c r="C78" s="417">
        <f t="shared" si="27"/>
        <v>0</v>
      </c>
      <c r="D78" s="264" t="str">
        <f t="shared" si="28"/>
        <v>N/A</v>
      </c>
      <c r="E78" s="422" t="e">
        <f t="shared" si="32"/>
        <v>#DIV/0!</v>
      </c>
      <c r="F78" s="422"/>
      <c r="G78" s="422" t="e">
        <f t="shared" si="29"/>
        <v>#DIV/0!</v>
      </c>
      <c r="H78" s="422"/>
      <c r="I78" s="5"/>
      <c r="J78" s="14">
        <v>7</v>
      </c>
      <c r="K78" s="417">
        <f t="shared" si="25"/>
        <v>0</v>
      </c>
      <c r="L78" s="264" t="str">
        <f t="shared" si="26"/>
        <v>N/A</v>
      </c>
      <c r="M78" s="422" t="e">
        <f t="shared" si="30"/>
        <v>#DIV/0!</v>
      </c>
      <c r="N78" s="422"/>
      <c r="O78" s="422" t="e">
        <f t="shared" si="31"/>
        <v>#DIV/0!</v>
      </c>
      <c r="P78" s="422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">
      <c r="A79" s="5"/>
      <c r="B79" s="14">
        <v>7</v>
      </c>
      <c r="C79" s="417">
        <f t="shared" si="27"/>
        <v>0</v>
      </c>
      <c r="D79" s="264" t="str">
        <f t="shared" si="28"/>
        <v>N/A</v>
      </c>
      <c r="E79" s="422" t="e">
        <f t="shared" si="32"/>
        <v>#DIV/0!</v>
      </c>
      <c r="F79" s="422"/>
      <c r="G79" s="422" t="e">
        <f t="shared" si="29"/>
        <v>#DIV/0!</v>
      </c>
      <c r="H79" s="422"/>
      <c r="I79" s="5"/>
      <c r="J79" s="14">
        <v>8</v>
      </c>
      <c r="K79" s="417">
        <f t="shared" si="25"/>
        <v>0</v>
      </c>
      <c r="L79" s="264" t="str">
        <f t="shared" si="26"/>
        <v>N/A</v>
      </c>
      <c r="M79" s="422" t="e">
        <f t="shared" si="30"/>
        <v>#DIV/0!</v>
      </c>
      <c r="N79" s="422"/>
      <c r="O79" s="422" t="e">
        <f t="shared" si="31"/>
        <v>#DIV/0!</v>
      </c>
      <c r="P79" s="422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">
      <c r="A80" s="5"/>
      <c r="B80" s="14">
        <v>8</v>
      </c>
      <c r="C80" s="417">
        <f t="shared" si="27"/>
        <v>0</v>
      </c>
      <c r="D80" s="264" t="str">
        <f t="shared" si="28"/>
        <v>N/A</v>
      </c>
      <c r="E80" s="422" t="e">
        <f t="shared" si="32"/>
        <v>#DIV/0!</v>
      </c>
      <c r="F80" s="422"/>
      <c r="G80" s="422" t="e">
        <f t="shared" si="29"/>
        <v>#DIV/0!</v>
      </c>
      <c r="H80" s="422"/>
      <c r="I80" s="5"/>
      <c r="J80" s="14">
        <v>9</v>
      </c>
      <c r="K80" s="417">
        <f t="shared" si="25"/>
        <v>0</v>
      </c>
      <c r="L80" s="264" t="str">
        <f t="shared" si="26"/>
        <v>N/A</v>
      </c>
      <c r="M80" s="422" t="e">
        <f t="shared" si="30"/>
        <v>#DIV/0!</v>
      </c>
      <c r="N80" s="422"/>
      <c r="O80" s="422" t="e">
        <f t="shared" si="31"/>
        <v>#DIV/0!</v>
      </c>
      <c r="P80" s="422"/>
      <c r="Q80" s="5"/>
      <c r="R80" s="5"/>
      <c r="S80" s="5"/>
      <c r="T80" s="5"/>
      <c r="U80" s="5"/>
      <c r="V80" s="5"/>
      <c r="W80" s="5"/>
      <c r="X80" s="5"/>
      <c r="Y80" s="5"/>
    </row>
    <row r="81" spans="1:25" ht="18" customHeight="1" x14ac:dyDescent="0.25">
      <c r="A81" s="5"/>
      <c r="B81" s="14">
        <v>9</v>
      </c>
      <c r="C81" s="417">
        <f t="shared" si="27"/>
        <v>0</v>
      </c>
      <c r="D81" s="264" t="str">
        <f t="shared" si="28"/>
        <v>N/A</v>
      </c>
      <c r="E81" s="422" t="e">
        <f t="shared" si="32"/>
        <v>#DIV/0!</v>
      </c>
      <c r="F81" s="422"/>
      <c r="G81" s="422" t="e">
        <f t="shared" si="29"/>
        <v>#DIV/0!</v>
      </c>
      <c r="H81" s="422"/>
      <c r="I81" s="420" t="s">
        <v>950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">
      <c r="A82" s="5"/>
      <c r="B82" s="14"/>
      <c r="C82" s="417"/>
      <c r="D82" s="1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" customHeight="1" x14ac:dyDescent="0.25">
      <c r="A83" s="420" t="s">
        <v>950</v>
      </c>
      <c r="B83" s="5"/>
      <c r="C83" s="5"/>
      <c r="D83" s="5"/>
      <c r="E83" s="5"/>
      <c r="F83" s="5"/>
      <c r="G83" s="5"/>
      <c r="H83" s="5"/>
      <c r="I83" s="64" t="s">
        <v>217</v>
      </c>
      <c r="J83" s="417">
        <f>B85/25.4</f>
        <v>30.118110236220474</v>
      </c>
      <c r="K83" s="64" t="s">
        <v>951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64" t="s">
        <v>952</v>
      </c>
      <c r="J84" s="417">
        <f>B86/25.4</f>
        <v>0.31496062992125984</v>
      </c>
      <c r="K84" s="64" t="s">
        <v>953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x14ac:dyDescent="0.2">
      <c r="A85" s="64" t="s">
        <v>217</v>
      </c>
      <c r="B85" s="433">
        <v>765</v>
      </c>
      <c r="C85" s="64" t="s">
        <v>954</v>
      </c>
      <c r="D85" s="5"/>
      <c r="E85" s="5"/>
      <c r="F85" s="5"/>
      <c r="G85" s="5"/>
      <c r="H85" s="5"/>
      <c r="I85" s="64" t="s">
        <v>996</v>
      </c>
      <c r="J85" s="417">
        <f>B87/25.4</f>
        <v>36.17246040000871</v>
      </c>
      <c r="K85" s="64" t="s">
        <v>997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x14ac:dyDescent="0.2">
      <c r="A86" s="64" t="s">
        <v>952</v>
      </c>
      <c r="B86" s="5">
        <v>8</v>
      </c>
      <c r="C86" s="64" t="s">
        <v>957</v>
      </c>
      <c r="D86" s="5"/>
      <c r="E86" s="5"/>
      <c r="F86" s="5"/>
      <c r="G86" s="5"/>
      <c r="H86" s="5"/>
      <c r="I86" s="64" t="s">
        <v>955</v>
      </c>
      <c r="J86" s="170">
        <f>24*25.4/25.4</f>
        <v>23.999999999999996</v>
      </c>
      <c r="K86" s="64" t="s">
        <v>998</v>
      </c>
      <c r="L86" s="64"/>
      <c r="M86" s="64"/>
      <c r="N86" s="64"/>
      <c r="O86" s="64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x14ac:dyDescent="0.2">
      <c r="A87" s="64" t="s">
        <v>996</v>
      </c>
      <c r="B87" s="265">
        <f>390*(B86/25.4)/(SQRT(B23*B13/0.3048/1000))*25.4</f>
        <v>918.78049416022122</v>
      </c>
      <c r="C87" s="64" t="s">
        <v>999</v>
      </c>
      <c r="D87" s="5"/>
      <c r="E87" s="5"/>
      <c r="F87" s="5"/>
      <c r="G87" s="5"/>
      <c r="H87" s="5"/>
      <c r="I87" s="5"/>
      <c r="J87" s="417">
        <f>J83/J86</f>
        <v>1.2549212598425199</v>
      </c>
      <c r="K87" s="264" t="str">
        <f>IF(J87&gt;1,"OK","ERROR")</f>
        <v>OK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x14ac:dyDescent="0.2">
      <c r="A88" s="266" t="s">
        <v>955</v>
      </c>
      <c r="B88" s="266">
        <f>24*25.4</f>
        <v>609.59999999999991</v>
      </c>
      <c r="C88" s="266" t="s">
        <v>1000</v>
      </c>
      <c r="D88" s="266"/>
      <c r="E88" s="266"/>
      <c r="F88" s="266"/>
      <c r="G88" s="266"/>
      <c r="H88" s="26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3.5" customHeight="1" thickBot="1" x14ac:dyDescent="0.25">
      <c r="A89" s="5"/>
      <c r="B89" s="417">
        <f>B85/B88</f>
        <v>1.2549212598425199</v>
      </c>
      <c r="C89" s="264" t="str">
        <f>IF(B89&gt;1,"OK","ERROR")</f>
        <v>OK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7.25" customHeight="1" thickTop="1" thickBot="1" x14ac:dyDescent="0.3">
      <c r="A90" s="5"/>
      <c r="B90" s="5"/>
      <c r="C90" s="5"/>
      <c r="D90" s="5"/>
      <c r="E90" s="5"/>
      <c r="F90" s="5"/>
      <c r="G90" s="5"/>
      <c r="H90" s="5"/>
      <c r="I90" s="28"/>
      <c r="J90" s="4"/>
      <c r="K90" s="408"/>
      <c r="L90" s="934" t="str">
        <f>'Front Page'!$A$13</f>
        <v>Mechanical  Calculations</v>
      </c>
      <c r="M90" s="842"/>
      <c r="N90" s="842"/>
      <c r="O90" s="842"/>
      <c r="P90" s="859"/>
      <c r="Q90" s="5"/>
      <c r="R90" s="5"/>
      <c r="S90" s="5"/>
      <c r="T90" s="5"/>
      <c r="U90" s="5"/>
      <c r="V90" s="5"/>
      <c r="W90" s="5"/>
      <c r="X90" s="5"/>
      <c r="Y90" s="5"/>
    </row>
    <row r="91" spans="1:25" ht="16.5" customHeight="1" thickBot="1" x14ac:dyDescent="0.3">
      <c r="A91" s="5"/>
      <c r="B91" s="5"/>
      <c r="C91" s="5"/>
      <c r="D91" s="5"/>
      <c r="E91" s="5"/>
      <c r="F91" s="5"/>
      <c r="G91" s="5"/>
      <c r="H91" s="5"/>
      <c r="I91" s="6"/>
      <c r="J91" s="5"/>
      <c r="K91" s="14"/>
      <c r="L91" s="984"/>
      <c r="M91" s="831"/>
      <c r="N91" s="831"/>
      <c r="O91" s="831"/>
      <c r="P91" s="854"/>
      <c r="Q91" s="5"/>
      <c r="R91" s="5"/>
      <c r="S91" s="5"/>
      <c r="T91" s="5"/>
      <c r="U91" s="5"/>
      <c r="V91" s="5"/>
      <c r="W91" s="5"/>
      <c r="X91" s="5"/>
      <c r="Y91" s="5"/>
    </row>
    <row r="92" spans="1:25" ht="16.5" customHeight="1" thickBot="1" x14ac:dyDescent="0.3">
      <c r="A92" s="5"/>
      <c r="B92" s="5"/>
      <c r="C92" s="5"/>
      <c r="D92" s="5"/>
      <c r="E92" s="5"/>
      <c r="F92" s="5"/>
      <c r="G92" s="5"/>
      <c r="H92" s="5"/>
      <c r="I92" s="8"/>
      <c r="J92" s="9"/>
      <c r="K92" s="409"/>
      <c r="L92" s="985" t="s">
        <v>882</v>
      </c>
      <c r="M92" s="834"/>
      <c r="N92" s="834"/>
      <c r="O92" s="834"/>
      <c r="P92" s="986"/>
      <c r="Q92" s="5"/>
      <c r="R92" s="5"/>
      <c r="S92" s="5"/>
      <c r="T92" s="5"/>
      <c r="U92" s="5"/>
      <c r="V92" s="5"/>
      <c r="W92" s="5"/>
      <c r="X92" s="5"/>
      <c r="Y92" s="5"/>
    </row>
    <row r="93" spans="1:25" ht="18" customHeight="1" thickTop="1" thickBot="1" x14ac:dyDescent="0.3">
      <c r="A93" s="5"/>
      <c r="B93" s="5"/>
      <c r="C93" s="5"/>
      <c r="D93" s="5"/>
      <c r="E93" s="5"/>
      <c r="F93" s="5"/>
      <c r="G93" s="5"/>
      <c r="H93" s="5"/>
      <c r="I93" s="873"/>
      <c r="J93" s="848"/>
      <c r="K93" s="865"/>
      <c r="L93" s="385" t="str">
        <f>'Front Page'!$D$4</f>
        <v>Doc Nº</v>
      </c>
      <c r="M93" s="980"/>
      <c r="N93" s="843"/>
      <c r="O93" s="980"/>
      <c r="P93" s="843"/>
      <c r="Q93" s="5"/>
      <c r="R93" s="5"/>
      <c r="S93" s="5"/>
      <c r="T93" s="5"/>
      <c r="U93" s="5"/>
      <c r="V93" s="5"/>
      <c r="W93" s="5"/>
      <c r="X93" s="5"/>
      <c r="Y93" s="5"/>
    </row>
    <row r="94" spans="1:25" ht="15.75" customHeight="1" thickBot="1" x14ac:dyDescent="0.3">
      <c r="A94" s="5"/>
      <c r="B94" s="5"/>
      <c r="C94" s="5"/>
      <c r="D94" s="5"/>
      <c r="E94" s="5"/>
      <c r="F94" s="5"/>
      <c r="G94" s="5"/>
      <c r="H94" s="5"/>
      <c r="I94" s="860"/>
      <c r="J94" s="851"/>
      <c r="K94" s="861"/>
      <c r="L94" s="386" t="str">
        <f>'Front Page'!$D$5</f>
        <v>Project</v>
      </c>
      <c r="M94" s="981"/>
      <c r="N94" s="835"/>
      <c r="O94" s="131" t="s">
        <v>5</v>
      </c>
      <c r="P94" s="427"/>
      <c r="Q94" s="5"/>
      <c r="R94" s="5"/>
      <c r="S94" s="5"/>
      <c r="T94" s="5"/>
      <c r="U94" s="5"/>
      <c r="V94" s="5"/>
      <c r="W94" s="5"/>
      <c r="X94" s="5"/>
      <c r="Y94" s="5"/>
    </row>
    <row r="95" spans="1:25" ht="13.5" customHeight="1" thickTop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423" t="s">
        <v>959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2.6" customHeight="1" x14ac:dyDescent="0.2">
      <c r="A98" s="5"/>
      <c r="B98" s="5"/>
      <c r="C98" s="5"/>
      <c r="D98" s="5"/>
      <c r="E98" s="5"/>
      <c r="F98" s="5"/>
      <c r="G98" s="5"/>
      <c r="H98" s="5"/>
      <c r="I98" s="424" t="s">
        <v>960</v>
      </c>
      <c r="J98" s="5"/>
      <c r="K98" s="5"/>
      <c r="L98" s="5"/>
      <c r="M98" s="5"/>
      <c r="N98" s="5"/>
      <c r="O98" s="5"/>
      <c r="P98" s="5"/>
      <c r="Q98" s="5"/>
      <c r="R98" s="5"/>
      <c r="S98" s="118"/>
      <c r="T98" s="392"/>
      <c r="U98" s="5"/>
      <c r="V98" s="118"/>
      <c r="W98" s="64"/>
      <c r="X98" s="5"/>
      <c r="Y98" s="5"/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14"/>
      <c r="U99" s="332"/>
      <c r="V99" s="64"/>
      <c r="W99" s="5"/>
      <c r="X99" s="118"/>
      <c r="Y99" s="5"/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14"/>
      <c r="U100" s="332"/>
      <c r="V100" s="64"/>
      <c r="W100" s="5"/>
      <c r="X100" s="5"/>
      <c r="Y100" s="5"/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14"/>
      <c r="U101" s="332"/>
      <c r="V101" s="64"/>
      <c r="W101" s="5"/>
      <c r="X101" s="5"/>
      <c r="Y101" s="5"/>
    </row>
    <row r="102" spans="1:25" x14ac:dyDescent="0.2">
      <c r="A102" s="5"/>
      <c r="B102" s="5"/>
      <c r="C102" s="263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14"/>
      <c r="U102" s="332"/>
      <c r="V102" s="64"/>
      <c r="W102" s="5"/>
      <c r="X102" s="5"/>
      <c r="Y102" s="5"/>
    </row>
    <row r="103" spans="1:25" x14ac:dyDescent="0.2">
      <c r="A103" s="5"/>
      <c r="B103" s="5"/>
      <c r="C103" s="64" t="s">
        <v>940</v>
      </c>
      <c r="D103" s="5"/>
      <c r="E103" s="5"/>
      <c r="F103" s="5"/>
      <c r="G103" s="5"/>
      <c r="H103" s="5"/>
      <c r="I103" s="424" t="s">
        <v>982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14"/>
      <c r="U103" s="332"/>
      <c r="V103" s="64"/>
      <c r="W103" s="5"/>
      <c r="X103" s="5"/>
      <c r="Y103" s="5"/>
    </row>
    <row r="104" spans="1:25" x14ac:dyDescent="0.2">
      <c r="A104" s="118" t="s">
        <v>963</v>
      </c>
      <c r="B104" s="5">
        <f>-B15</f>
        <v>-8.0000000000000002E-3</v>
      </c>
      <c r="C104" s="263">
        <f>B104*$B$22*1000000/2</f>
        <v>-82400</v>
      </c>
      <c r="D104" s="64" t="s">
        <v>964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118" t="s">
        <v>1001</v>
      </c>
      <c r="W104" s="118" t="s">
        <v>1002</v>
      </c>
      <c r="X104" s="118" t="s">
        <v>1003</v>
      </c>
      <c r="Y104" s="118" t="str">
        <f t="shared" ref="Y104:Y113" si="33">S28</f>
        <v>Scs (Mpa)</v>
      </c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>
        <f t="shared" ref="V105:V113" si="34">1.35*J109+1.35*K109</f>
        <v>1817.0833204301698</v>
      </c>
      <c r="W105" s="5">
        <f t="shared" ref="W105:W113" si="35">-$B$22/2*(K109+J109)</f>
        <v>-13863.672741059814</v>
      </c>
      <c r="X105" s="64" t="s">
        <v>1004</v>
      </c>
      <c r="Y105" s="5">
        <f t="shared" si="33"/>
        <v>9.6392761165048562</v>
      </c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>
        <f t="shared" si="34"/>
        <v>1463.1050369350246</v>
      </c>
      <c r="W106" s="5">
        <f t="shared" si="35"/>
        <v>-11162.949541059819</v>
      </c>
      <c r="X106" s="64" t="s">
        <v>1004</v>
      </c>
      <c r="Y106" s="5">
        <f t="shared" si="33"/>
        <v>9.6392761165048562</v>
      </c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>
        <f t="shared" si="34"/>
        <v>1083.9717709156071</v>
      </c>
      <c r="W107" s="5">
        <f t="shared" si="35"/>
        <v>-8270.303141059816</v>
      </c>
      <c r="X107" s="64" t="s">
        <v>1004</v>
      </c>
      <c r="Y107" s="5">
        <f t="shared" si="33"/>
        <v>9.6392761165048562</v>
      </c>
    </row>
    <row r="108" spans="1:25" ht="25.5" customHeight="1" x14ac:dyDescent="0.2">
      <c r="A108" s="5" t="s">
        <v>969</v>
      </c>
      <c r="B108" s="347">
        <f>'Inner Tank Stiffeners 2'!B54</f>
        <v>4.703775688888889E-3</v>
      </c>
      <c r="C108" s="170" t="str">
        <f>'Inner Tank Stiffeners 2'!C54</f>
        <v>N/mm2</v>
      </c>
      <c r="D108" s="64" t="s">
        <v>970</v>
      </c>
      <c r="E108" s="14"/>
      <c r="F108" s="5"/>
      <c r="G108" s="5"/>
      <c r="H108" s="5"/>
      <c r="I108" s="5"/>
      <c r="J108" s="118" t="s">
        <v>1005</v>
      </c>
      <c r="K108" s="118" t="s">
        <v>1006</v>
      </c>
      <c r="L108" s="118" t="s">
        <v>1007</v>
      </c>
      <c r="M108" s="295" t="s">
        <v>1008</v>
      </c>
      <c r="N108" s="295" t="s">
        <v>1009</v>
      </c>
      <c r="O108" s="118" t="s">
        <v>1010</v>
      </c>
      <c r="P108" s="118" t="s">
        <v>1011</v>
      </c>
      <c r="Q108" s="5"/>
      <c r="R108" s="5"/>
      <c r="S108" s="5"/>
      <c r="T108" s="5"/>
      <c r="U108" s="5"/>
      <c r="V108" s="5">
        <f t="shared" si="34"/>
        <v>704.83850489618953</v>
      </c>
      <c r="W108" s="5">
        <f t="shared" si="35"/>
        <v>-5377.6567410598163</v>
      </c>
      <c r="X108" s="64" t="s">
        <v>1004</v>
      </c>
      <c r="Y108" s="5">
        <f t="shared" si="33"/>
        <v>9.6392761165048562</v>
      </c>
    </row>
    <row r="109" spans="1:25" x14ac:dyDescent="0.2">
      <c r="A109" s="117" t="s">
        <v>971</v>
      </c>
      <c r="B109" s="5">
        <v>80</v>
      </c>
      <c r="C109" s="5" t="s">
        <v>304</v>
      </c>
      <c r="D109" s="64" t="s">
        <v>972</v>
      </c>
      <c r="E109" s="5"/>
      <c r="F109" s="5"/>
      <c r="G109" s="5"/>
      <c r="H109" s="5"/>
      <c r="I109" s="5">
        <v>1</v>
      </c>
      <c r="J109" s="5">
        <f t="shared" ref="J109:J117" si="36">B119</f>
        <v>2145.9876447630886</v>
      </c>
      <c r="K109" s="263">
        <f t="shared" ref="K109:K117" si="37">$B$104*100000</f>
        <v>-800</v>
      </c>
      <c r="L109" s="352">
        <f t="shared" ref="L109:L117" si="38">B110*1000000</f>
        <v>5781.4092852401645</v>
      </c>
      <c r="M109" s="5">
        <f t="shared" ref="M109:M117" si="39">1.5*L109+1.35*K109</f>
        <v>7592.1139278602459</v>
      </c>
      <c r="N109" s="5">
        <f t="shared" ref="N109:N117" si="40">1.35*J109</f>
        <v>2897.0833204301698</v>
      </c>
      <c r="O109" s="5">
        <f t="shared" ref="O109:O117" si="41">-$B$22/4*(M109+N109)</f>
        <v>-54019.365828695649</v>
      </c>
      <c r="P109" s="64">
        <f t="shared" ref="P109:P117" si="42">-$B$22/4*M109</f>
        <v>-39099.386728480269</v>
      </c>
      <c r="Q109" s="5"/>
      <c r="R109" s="5"/>
      <c r="S109" s="5"/>
      <c r="T109" s="5"/>
      <c r="U109" s="5"/>
      <c r="V109" s="5">
        <f t="shared" si="34"/>
        <v>407.91106411949067</v>
      </c>
      <c r="W109" s="5">
        <f t="shared" si="35"/>
        <v>-3112.210341059817</v>
      </c>
      <c r="X109" s="64" t="s">
        <v>1004</v>
      </c>
      <c r="Y109" s="5">
        <f t="shared" si="33"/>
        <v>0</v>
      </c>
    </row>
    <row r="110" spans="1:25" x14ac:dyDescent="0.2">
      <c r="A110" s="118" t="s">
        <v>974</v>
      </c>
      <c r="B110" s="352">
        <f>'Inner Tank Stiffeners 3'!I71</f>
        <v>5.7814092852401643E-3</v>
      </c>
      <c r="C110" s="14" t="s">
        <v>925</v>
      </c>
      <c r="D110" s="64">
        <f t="shared" ref="D110:D118" si="43">B110*$B$22*1000000/2</f>
        <v>59548.515637973695</v>
      </c>
      <c r="E110" s="64" t="s">
        <v>940</v>
      </c>
      <c r="F110" s="5"/>
      <c r="G110" s="5"/>
      <c r="H110" s="5"/>
      <c r="I110" s="5">
        <v>2</v>
      </c>
      <c r="J110" s="5">
        <f t="shared" si="36"/>
        <v>1883.781508840759</v>
      </c>
      <c r="K110" s="263">
        <f t="shared" si="37"/>
        <v>-800</v>
      </c>
      <c r="L110" s="352">
        <f t="shared" si="38"/>
        <v>1143.0875863347851</v>
      </c>
      <c r="M110" s="5">
        <f t="shared" si="39"/>
        <v>634.63137950217765</v>
      </c>
      <c r="N110" s="5">
        <f t="shared" si="40"/>
        <v>2543.1050369350246</v>
      </c>
      <c r="O110" s="5">
        <f t="shared" si="41"/>
        <v>-16365.342544651592</v>
      </c>
      <c r="P110" s="64">
        <f t="shared" si="42"/>
        <v>-3268.351604436215</v>
      </c>
      <c r="Q110" s="5"/>
      <c r="R110" s="5"/>
      <c r="S110" s="5"/>
      <c r="T110" s="5"/>
      <c r="U110" s="5"/>
      <c r="V110" s="5">
        <f t="shared" si="34"/>
        <v>407.91106411949067</v>
      </c>
      <c r="W110" s="5">
        <f t="shared" si="35"/>
        <v>-3112.210341059817</v>
      </c>
      <c r="X110" s="64" t="s">
        <v>1004</v>
      </c>
      <c r="Y110" s="5">
        <f t="shared" si="33"/>
        <v>0</v>
      </c>
    </row>
    <row r="111" spans="1:25" x14ac:dyDescent="0.2">
      <c r="A111" s="5"/>
      <c r="B111" s="352">
        <f>'Inner Tank Stiffeners 3'!I72</f>
        <v>1.1430875863347851E-3</v>
      </c>
      <c r="C111" s="14" t="s">
        <v>925</v>
      </c>
      <c r="D111" s="64">
        <f t="shared" si="43"/>
        <v>11773.802139248286</v>
      </c>
      <c r="E111" s="64" t="s">
        <v>940</v>
      </c>
      <c r="F111" s="5"/>
      <c r="G111" s="5"/>
      <c r="H111" s="5"/>
      <c r="I111" s="5">
        <v>3</v>
      </c>
      <c r="J111" s="5">
        <f t="shared" si="36"/>
        <v>1602.9420525300791</v>
      </c>
      <c r="K111" s="263">
        <f t="shared" si="37"/>
        <v>-800</v>
      </c>
      <c r="L111" s="352">
        <f t="shared" si="38"/>
        <v>602.9482477058217</v>
      </c>
      <c r="M111" s="5">
        <f t="shared" si="39"/>
        <v>-175.57762844126751</v>
      </c>
      <c r="N111" s="5">
        <f t="shared" si="40"/>
        <v>2163.9717709156071</v>
      </c>
      <c r="O111" s="5">
        <f t="shared" si="41"/>
        <v>-10240.229833742849</v>
      </c>
      <c r="P111" s="64">
        <f t="shared" si="42"/>
        <v>904.22478647252774</v>
      </c>
      <c r="Q111" s="5"/>
      <c r="R111" s="5"/>
      <c r="S111" s="5"/>
      <c r="T111" s="5"/>
      <c r="U111" s="5"/>
      <c r="V111" s="5">
        <f t="shared" si="34"/>
        <v>407.91106411949067</v>
      </c>
      <c r="W111" s="5">
        <f t="shared" si="35"/>
        <v>-3112.210341059817</v>
      </c>
      <c r="X111" s="64" t="s">
        <v>1004</v>
      </c>
      <c r="Y111" s="5">
        <f t="shared" si="33"/>
        <v>0</v>
      </c>
    </row>
    <row r="112" spans="1:25" x14ac:dyDescent="0.2">
      <c r="A112" s="5"/>
      <c r="B112" s="352">
        <f>'Inner Tank Stiffeners 3'!I73</f>
        <v>6.0294824770582174E-4</v>
      </c>
      <c r="C112" s="14" t="s">
        <v>925</v>
      </c>
      <c r="D112" s="64">
        <f t="shared" si="43"/>
        <v>6210.3669513699651</v>
      </c>
      <c r="E112" s="64" t="s">
        <v>940</v>
      </c>
      <c r="F112" s="5"/>
      <c r="G112" s="5"/>
      <c r="H112" s="5"/>
      <c r="I112" s="5">
        <v>4</v>
      </c>
      <c r="J112" s="5">
        <f t="shared" si="36"/>
        <v>1322.1025962193996</v>
      </c>
      <c r="K112" s="263">
        <f t="shared" si="37"/>
        <v>-800</v>
      </c>
      <c r="L112" s="352">
        <f t="shared" si="38"/>
        <v>-9.1106073747355257E-2</v>
      </c>
      <c r="M112" s="5">
        <f t="shared" si="39"/>
        <v>-1080.1366591106209</v>
      </c>
      <c r="N112" s="5">
        <f t="shared" si="40"/>
        <v>1784.8385048961895</v>
      </c>
      <c r="O112" s="5">
        <f t="shared" si="41"/>
        <v>-3629.2145057956786</v>
      </c>
      <c r="P112" s="64">
        <f t="shared" si="42"/>
        <v>5562.7037944196982</v>
      </c>
      <c r="Q112" s="5"/>
      <c r="R112" s="5"/>
      <c r="S112" s="5"/>
      <c r="T112" s="5"/>
      <c r="U112" s="5"/>
      <c r="V112" s="5">
        <f t="shared" si="34"/>
        <v>407.91106411949067</v>
      </c>
      <c r="W112" s="5">
        <f t="shared" si="35"/>
        <v>-3112.210341059817</v>
      </c>
      <c r="X112" s="64" t="s">
        <v>1004</v>
      </c>
      <c r="Y112" s="5">
        <f t="shared" si="33"/>
        <v>0</v>
      </c>
    </row>
    <row r="113" spans="1:25" x14ac:dyDescent="0.2">
      <c r="A113" s="5"/>
      <c r="B113" s="352">
        <f>'Inner Tank Stiffeners 3'!I74</f>
        <v>-9.1106073747355257E-8</v>
      </c>
      <c r="C113" s="14" t="s">
        <v>925</v>
      </c>
      <c r="D113" s="64">
        <f t="shared" si="43"/>
        <v>-0.93839255959775913</v>
      </c>
      <c r="E113" s="64" t="s">
        <v>940</v>
      </c>
      <c r="F113" s="5"/>
      <c r="G113" s="5"/>
      <c r="H113" s="5"/>
      <c r="I113" s="5">
        <v>5</v>
      </c>
      <c r="J113" s="5">
        <f t="shared" si="36"/>
        <v>1102.1563437922152</v>
      </c>
      <c r="K113" s="263">
        <f t="shared" si="37"/>
        <v>-800</v>
      </c>
      <c r="L113" s="352">
        <f t="shared" si="38"/>
        <v>-498.02390532611844</v>
      </c>
      <c r="M113" s="5">
        <f t="shared" si="39"/>
        <v>-1827.0358579891777</v>
      </c>
      <c r="N113" s="5">
        <f t="shared" si="40"/>
        <v>1487.9110641194907</v>
      </c>
      <c r="O113" s="5">
        <f t="shared" si="41"/>
        <v>1746.4926884288882</v>
      </c>
      <c r="P113" s="64">
        <f t="shared" si="42"/>
        <v>9409.2346686442652</v>
      </c>
      <c r="Q113" s="5"/>
      <c r="R113" s="5"/>
      <c r="S113" s="5"/>
      <c r="T113" s="5"/>
      <c r="U113" s="5"/>
      <c r="V113" s="5">
        <f t="shared" si="34"/>
        <v>407.91106411949067</v>
      </c>
      <c r="W113" s="5">
        <f t="shared" si="35"/>
        <v>-3112.210341059817</v>
      </c>
      <c r="X113" s="64" t="s">
        <v>1004</v>
      </c>
      <c r="Y113" s="5">
        <f t="shared" si="33"/>
        <v>0</v>
      </c>
    </row>
    <row r="114" spans="1:25" x14ac:dyDescent="0.2">
      <c r="A114" s="5"/>
      <c r="B114" s="352">
        <f>'Inner Tank Stiffeners 3'!I75</f>
        <v>-4.9802390532611843E-4</v>
      </c>
      <c r="C114" s="14" t="s">
        <v>925</v>
      </c>
      <c r="D114" s="64">
        <f t="shared" si="43"/>
        <v>-5129.6462248590205</v>
      </c>
      <c r="E114" s="64" t="s">
        <v>940</v>
      </c>
      <c r="F114" s="5"/>
      <c r="G114" s="5"/>
      <c r="H114" s="5"/>
      <c r="I114" s="5">
        <v>6</v>
      </c>
      <c r="J114" s="5">
        <f t="shared" si="36"/>
        <v>1102.1563437922152</v>
      </c>
      <c r="K114" s="263">
        <f t="shared" si="37"/>
        <v>-800</v>
      </c>
      <c r="L114" s="352">
        <f t="shared" si="38"/>
        <v>-498.02390532611844</v>
      </c>
      <c r="M114" s="5">
        <f t="shared" si="39"/>
        <v>-1827.0358579891777</v>
      </c>
      <c r="N114" s="5">
        <f t="shared" si="40"/>
        <v>1487.9110641194907</v>
      </c>
      <c r="O114" s="5">
        <f t="shared" si="41"/>
        <v>1746.4926884288882</v>
      </c>
      <c r="P114" s="64">
        <f t="shared" si="42"/>
        <v>9409.2346686442652</v>
      </c>
      <c r="Q114" s="5"/>
      <c r="R114" s="5"/>
      <c r="S114" s="5"/>
      <c r="T114" s="5"/>
      <c r="U114" s="5"/>
      <c r="V114" s="5"/>
      <c r="W114" s="5"/>
      <c r="X114" s="5"/>
      <c r="Y114" s="5"/>
    </row>
    <row r="115" spans="1:25" x14ac:dyDescent="0.2">
      <c r="A115" s="5"/>
      <c r="B115" s="352">
        <f>'Inner Tank Stiffeners 3'!I76</f>
        <v>-4.9802390532611843E-4</v>
      </c>
      <c r="C115" s="14" t="s">
        <v>925</v>
      </c>
      <c r="D115" s="64">
        <f t="shared" si="43"/>
        <v>-5129.6462248590205</v>
      </c>
      <c r="E115" s="64" t="s">
        <v>940</v>
      </c>
      <c r="F115" s="5"/>
      <c r="G115" s="5"/>
      <c r="H115" s="5"/>
      <c r="I115" s="5">
        <v>7</v>
      </c>
      <c r="J115" s="5">
        <f t="shared" si="36"/>
        <v>1102.1563437922152</v>
      </c>
      <c r="K115" s="263">
        <f t="shared" si="37"/>
        <v>-800</v>
      </c>
      <c r="L115" s="352">
        <f t="shared" si="38"/>
        <v>-498.02390532611844</v>
      </c>
      <c r="M115" s="5">
        <f t="shared" si="39"/>
        <v>-1827.0358579891777</v>
      </c>
      <c r="N115" s="5">
        <f t="shared" si="40"/>
        <v>1487.9110641194907</v>
      </c>
      <c r="O115" s="5">
        <f t="shared" si="41"/>
        <v>1746.4926884288882</v>
      </c>
      <c r="P115" s="64">
        <f t="shared" si="42"/>
        <v>9409.2346686442652</v>
      </c>
      <c r="Q115" s="5"/>
      <c r="R115" s="5"/>
      <c r="S115" s="366" t="s">
        <v>979</v>
      </c>
      <c r="T115" s="366"/>
      <c r="U115" s="366"/>
      <c r="V115" s="366"/>
      <c r="W115" s="5"/>
      <c r="X115" s="5"/>
      <c r="Y115" s="5"/>
    </row>
    <row r="116" spans="1:25" x14ac:dyDescent="0.2">
      <c r="A116" s="5"/>
      <c r="B116" s="352">
        <f>'Inner Tank Stiffeners 3'!I77</f>
        <v>-4.9802390532611843E-4</v>
      </c>
      <c r="C116" s="14" t="s">
        <v>925</v>
      </c>
      <c r="D116" s="64">
        <f t="shared" si="43"/>
        <v>-5129.6462248590205</v>
      </c>
      <c r="E116" s="64" t="s">
        <v>940</v>
      </c>
      <c r="F116" s="5"/>
      <c r="G116" s="5"/>
      <c r="H116" s="5"/>
      <c r="I116" s="5">
        <v>8</v>
      </c>
      <c r="J116" s="5">
        <f t="shared" si="36"/>
        <v>1102.1563437922152</v>
      </c>
      <c r="K116" s="263">
        <f t="shared" si="37"/>
        <v>-800</v>
      </c>
      <c r="L116" s="352">
        <f t="shared" si="38"/>
        <v>-498.02390532611844</v>
      </c>
      <c r="M116" s="5">
        <f t="shared" si="39"/>
        <v>-1827.0358579891777</v>
      </c>
      <c r="N116" s="5">
        <f t="shared" si="40"/>
        <v>1487.9110641194907</v>
      </c>
      <c r="O116" s="5">
        <f t="shared" si="41"/>
        <v>1746.4926884288882</v>
      </c>
      <c r="P116" s="64">
        <f t="shared" si="42"/>
        <v>9409.2346686442652</v>
      </c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2.6" customHeight="1" x14ac:dyDescent="0.2">
      <c r="A117" s="5"/>
      <c r="B117" s="352">
        <f>'Inner Tank Stiffeners 3'!I78</f>
        <v>-4.9802390532611843E-4</v>
      </c>
      <c r="C117" s="14" t="s">
        <v>980</v>
      </c>
      <c r="D117" s="64">
        <f t="shared" si="43"/>
        <v>-5129.6462248590205</v>
      </c>
      <c r="E117" s="64" t="s">
        <v>940</v>
      </c>
      <c r="F117" s="5"/>
      <c r="G117" s="5"/>
      <c r="H117" s="5"/>
      <c r="I117" s="5">
        <v>9</v>
      </c>
      <c r="J117" s="5">
        <f t="shared" si="36"/>
        <v>1102.1563437922152</v>
      </c>
      <c r="K117" s="263">
        <f t="shared" si="37"/>
        <v>-800</v>
      </c>
      <c r="L117" s="352">
        <f t="shared" si="38"/>
        <v>-498.02390532611844</v>
      </c>
      <c r="M117" s="5">
        <f t="shared" si="39"/>
        <v>-1827.0358579891777</v>
      </c>
      <c r="N117" s="5">
        <f t="shared" si="40"/>
        <v>1487.9110641194907</v>
      </c>
      <c r="O117" s="5">
        <f t="shared" si="41"/>
        <v>1746.4926884288882</v>
      </c>
      <c r="P117" s="64">
        <f t="shared" si="42"/>
        <v>9409.2346686442652</v>
      </c>
      <c r="Q117" s="5"/>
      <c r="R117" s="5"/>
      <c r="S117" s="425" t="s">
        <v>967</v>
      </c>
      <c r="T117" s="295" t="s">
        <v>968</v>
      </c>
      <c r="U117" s="413" t="s">
        <v>946</v>
      </c>
      <c r="V117" s="5"/>
      <c r="W117" s="5"/>
      <c r="X117" s="5"/>
      <c r="Y117" s="5"/>
    </row>
    <row r="118" spans="1:25" ht="38.25" customHeight="1" x14ac:dyDescent="0.2">
      <c r="A118" s="5"/>
      <c r="B118" s="352">
        <f>'Inner Tank Stiffeners 3'!I79</f>
        <v>-4.9802390532611843E-4</v>
      </c>
      <c r="C118" s="14" t="s">
        <v>980</v>
      </c>
      <c r="D118" s="64">
        <f t="shared" si="43"/>
        <v>-5129.6462248590205</v>
      </c>
      <c r="E118" s="64" t="s">
        <v>940</v>
      </c>
      <c r="F118" s="5"/>
      <c r="G118" s="5"/>
      <c r="H118" s="5"/>
      <c r="I118" s="5"/>
      <c r="J118" s="118" t="str">
        <f t="shared" ref="J118:J127" si="44">U28</f>
        <v>Sca (Mpa)</v>
      </c>
      <c r="K118" s="425" t="s">
        <v>1012</v>
      </c>
      <c r="L118" s="425" t="s">
        <v>1013</v>
      </c>
      <c r="M118" s="295" t="s">
        <v>1014</v>
      </c>
      <c r="N118" s="413" t="s">
        <v>946</v>
      </c>
      <c r="O118" s="5"/>
      <c r="P118" s="5"/>
      <c r="Q118" s="5"/>
      <c r="R118" s="5">
        <v>1</v>
      </c>
      <c r="S118" s="346">
        <f t="shared" ref="S118:S126" si="45">-W105/1000/S29</f>
        <v>1.4382483262743901</v>
      </c>
      <c r="T118" s="5">
        <f t="shared" ref="T118:T126" si="46">B30</f>
        <v>8</v>
      </c>
      <c r="U118" s="417">
        <f t="shared" ref="U118:U126" si="47">T118/S118</f>
        <v>5.5623217867550316</v>
      </c>
      <c r="V118" s="264" t="str">
        <f t="shared" ref="V118:V126" si="48">IF(T118/S118&gt;1,"OK","ERROR")</f>
        <v>OK</v>
      </c>
      <c r="W118" s="5"/>
      <c r="X118" s="5"/>
      <c r="Y118" s="5"/>
    </row>
    <row r="119" spans="1:25" x14ac:dyDescent="0.2">
      <c r="A119" s="118" t="s">
        <v>981</v>
      </c>
      <c r="B119" s="5">
        <f>((F30-'Thermal calculation 2'!$K$82)*9.8/($B$22^2*PI()/4))</f>
        <v>2145.9876447630886</v>
      </c>
      <c r="C119" s="64" t="s">
        <v>1015</v>
      </c>
      <c r="D119" s="5">
        <f t="shared" ref="D119:D127" si="49">B119/B30/1000</f>
        <v>0.26824845559538607</v>
      </c>
      <c r="E119" s="64" t="s">
        <v>941</v>
      </c>
      <c r="F119" s="5">
        <f t="shared" ref="F119:F127" si="50">D119*145.04</f>
        <v>38.906755999554797</v>
      </c>
      <c r="G119" s="64" t="s">
        <v>926</v>
      </c>
      <c r="H119" s="5"/>
      <c r="I119" s="5"/>
      <c r="J119" s="5">
        <f t="shared" si="44"/>
        <v>5.3551533980582535</v>
      </c>
      <c r="K119" s="265">
        <f t="shared" ref="K119:K127" si="51">-O109/1000/J119</f>
        <v>10.087361054546587</v>
      </c>
      <c r="L119" s="265">
        <f t="shared" ref="L119:L127" si="52">-P109/1000/J119</f>
        <v>7.3012636281637553</v>
      </c>
      <c r="M119" s="5">
        <f t="shared" ref="M119:M127" si="53">T118</f>
        <v>8</v>
      </c>
      <c r="N119" s="417">
        <f t="shared" ref="N119:N127" si="54">M119/K119</f>
        <v>0.79307164249803774</v>
      </c>
      <c r="O119" s="264" t="str">
        <f t="shared" ref="O119:O127" si="55">IF(M119/K119&gt;1,"OK","ERROR")</f>
        <v>ERROR</v>
      </c>
      <c r="P119" s="5"/>
      <c r="Q119" s="5"/>
      <c r="R119" s="5">
        <v>2</v>
      </c>
      <c r="S119" s="346">
        <f t="shared" si="45"/>
        <v>1.1580692788689859</v>
      </c>
      <c r="T119" s="5">
        <f t="shared" si="46"/>
        <v>8</v>
      </c>
      <c r="U119" s="417">
        <f t="shared" si="47"/>
        <v>6.9080495838842229</v>
      </c>
      <c r="V119" s="264" t="str">
        <f t="shared" si="48"/>
        <v>OK</v>
      </c>
      <c r="W119" s="5"/>
      <c r="X119" s="5"/>
      <c r="Y119" s="5"/>
    </row>
    <row r="120" spans="1:25" x14ac:dyDescent="0.2">
      <c r="A120" s="5"/>
      <c r="B120" s="5">
        <f>((F31-'Thermal calculation 2'!$K$82)*9.8/($B$22^2*PI()/4))</f>
        <v>1883.781508840759</v>
      </c>
      <c r="C120" s="64" t="s">
        <v>1015</v>
      </c>
      <c r="D120" s="5">
        <f t="shared" si="49"/>
        <v>0.23547268860509488</v>
      </c>
      <c r="E120" s="64" t="s">
        <v>941</v>
      </c>
      <c r="F120" s="5">
        <f t="shared" si="50"/>
        <v>34.15295875528296</v>
      </c>
      <c r="G120" s="64" t="s">
        <v>926</v>
      </c>
      <c r="H120" s="5"/>
      <c r="I120" s="5"/>
      <c r="J120" s="5">
        <f t="shared" si="44"/>
        <v>5.3551533980582535</v>
      </c>
      <c r="K120" s="265">
        <f t="shared" si="51"/>
        <v>3.0559988348019251</v>
      </c>
      <c r="L120" s="265">
        <f t="shared" si="52"/>
        <v>0.61031895101665989</v>
      </c>
      <c r="M120" s="5">
        <f t="shared" si="53"/>
        <v>8</v>
      </c>
      <c r="N120" s="417">
        <f t="shared" si="54"/>
        <v>2.6178020452414605</v>
      </c>
      <c r="O120" s="264" t="str">
        <f t="shared" si="55"/>
        <v>OK</v>
      </c>
      <c r="P120" s="5"/>
      <c r="Q120" s="5"/>
      <c r="R120" s="5">
        <v>3</v>
      </c>
      <c r="S120" s="346">
        <f t="shared" si="45"/>
        <v>0.85797969070509195</v>
      </c>
      <c r="T120" s="5">
        <f t="shared" si="46"/>
        <v>8</v>
      </c>
      <c r="U120" s="417">
        <f t="shared" si="47"/>
        <v>9.3242300332605321</v>
      </c>
      <c r="V120" s="264" t="str">
        <f t="shared" si="48"/>
        <v>OK</v>
      </c>
      <c r="W120" s="5"/>
      <c r="X120" s="5"/>
      <c r="Y120" s="5"/>
    </row>
    <row r="121" spans="1:25" x14ac:dyDescent="0.2">
      <c r="A121" s="5"/>
      <c r="B121" s="5">
        <f>((F32-'Thermal calculation 2'!$K$82)*9.8/($B$22^2*PI()/4))</f>
        <v>1602.9420525300791</v>
      </c>
      <c r="C121" s="64" t="s">
        <v>1015</v>
      </c>
      <c r="D121" s="5">
        <f t="shared" si="49"/>
        <v>0.20036775656625988</v>
      </c>
      <c r="E121" s="64" t="s">
        <v>941</v>
      </c>
      <c r="F121" s="5">
        <f t="shared" si="50"/>
        <v>29.06133941237033</v>
      </c>
      <c r="G121" s="64" t="s">
        <v>926</v>
      </c>
      <c r="H121" s="5"/>
      <c r="I121" s="5"/>
      <c r="J121" s="5">
        <f t="shared" si="44"/>
        <v>5.3551533980582535</v>
      </c>
      <c r="K121" s="265">
        <f t="shared" si="51"/>
        <v>1.9122197017653864</v>
      </c>
      <c r="L121" s="265">
        <f t="shared" si="52"/>
        <v>-0.16885133240074771</v>
      </c>
      <c r="M121" s="5">
        <f t="shared" si="53"/>
        <v>8</v>
      </c>
      <c r="N121" s="417">
        <f t="shared" si="54"/>
        <v>4.1836196921380395</v>
      </c>
      <c r="O121" s="264" t="str">
        <f t="shared" si="55"/>
        <v>OK</v>
      </c>
      <c r="P121" s="5"/>
      <c r="Q121" s="5"/>
      <c r="R121" s="5">
        <v>4</v>
      </c>
      <c r="S121" s="346">
        <f t="shared" si="45"/>
        <v>0.55789010254119809</v>
      </c>
      <c r="T121" s="5">
        <f t="shared" si="46"/>
        <v>8</v>
      </c>
      <c r="U121" s="417">
        <f t="shared" si="47"/>
        <v>14.339741758385523</v>
      </c>
      <c r="V121" s="264" t="str">
        <f t="shared" si="48"/>
        <v>OK</v>
      </c>
      <c r="W121" s="5"/>
      <c r="X121" s="5"/>
      <c r="Y121" s="5"/>
    </row>
    <row r="122" spans="1:25" x14ac:dyDescent="0.2">
      <c r="A122" s="5"/>
      <c r="B122" s="5">
        <f>((F33-'Thermal calculation 2'!$K$82)*9.8/($B$22^2*PI()/4))</f>
        <v>1322.1025962193996</v>
      </c>
      <c r="C122" s="64" t="s">
        <v>1015</v>
      </c>
      <c r="D122" s="5">
        <f t="shared" si="49"/>
        <v>0.16526282452742497</v>
      </c>
      <c r="E122" s="64" t="s">
        <v>941</v>
      </c>
      <c r="F122" s="5">
        <f t="shared" si="50"/>
        <v>23.969720069457715</v>
      </c>
      <c r="G122" s="64" t="s">
        <v>926</v>
      </c>
      <c r="H122" s="5"/>
      <c r="I122" s="5"/>
      <c r="J122" s="5">
        <f t="shared" si="44"/>
        <v>5.3551533980582535</v>
      </c>
      <c r="K122" s="265">
        <f t="shared" si="51"/>
        <v>0.67770505082293442</v>
      </c>
      <c r="L122" s="265">
        <f t="shared" si="52"/>
        <v>-1.0387571337240686</v>
      </c>
      <c r="M122" s="5">
        <f t="shared" si="53"/>
        <v>8</v>
      </c>
      <c r="N122" s="417">
        <f t="shared" si="54"/>
        <v>11.804545340610392</v>
      </c>
      <c r="O122" s="264" t="str">
        <f t="shared" si="55"/>
        <v>OK</v>
      </c>
      <c r="P122" s="5"/>
      <c r="Q122" s="5"/>
      <c r="R122" s="5">
        <v>5</v>
      </c>
      <c r="S122" s="346" t="e">
        <f t="shared" si="45"/>
        <v>#DIV/0!</v>
      </c>
      <c r="T122" s="5">
        <f t="shared" si="46"/>
        <v>0</v>
      </c>
      <c r="U122" s="417" t="e">
        <f t="shared" si="47"/>
        <v>#DIV/0!</v>
      </c>
      <c r="V122" s="264" t="e">
        <f t="shared" si="48"/>
        <v>#DIV/0!</v>
      </c>
      <c r="W122" s="5"/>
      <c r="X122" s="5"/>
      <c r="Y122" s="5"/>
    </row>
    <row r="123" spans="1:25" x14ac:dyDescent="0.2">
      <c r="A123" s="5"/>
      <c r="B123" s="5">
        <f>((F34-'Thermal calculation 2'!$K$82)*9.8/($B$22^2*PI()/4))</f>
        <v>1102.1563437922152</v>
      </c>
      <c r="C123" s="64" t="s">
        <v>1015</v>
      </c>
      <c r="D123" s="5" t="e">
        <f t="shared" si="49"/>
        <v>#DIV/0!</v>
      </c>
      <c r="E123" s="64" t="s">
        <v>941</v>
      </c>
      <c r="F123" s="5" t="e">
        <f t="shared" si="50"/>
        <v>#DIV/0!</v>
      </c>
      <c r="G123" s="64" t="s">
        <v>926</v>
      </c>
      <c r="H123" s="5"/>
      <c r="I123" s="5"/>
      <c r="J123" s="5">
        <f t="shared" si="44"/>
        <v>0</v>
      </c>
      <c r="K123" s="265" t="e">
        <f t="shared" si="51"/>
        <v>#DIV/0!</v>
      </c>
      <c r="L123" s="265" t="e">
        <f t="shared" si="52"/>
        <v>#DIV/0!</v>
      </c>
      <c r="M123" s="5">
        <f t="shared" si="53"/>
        <v>0</v>
      </c>
      <c r="N123" s="417" t="e">
        <f t="shared" si="54"/>
        <v>#DIV/0!</v>
      </c>
      <c r="O123" s="264" t="e">
        <f t="shared" si="55"/>
        <v>#DIV/0!</v>
      </c>
      <c r="P123" s="5"/>
      <c r="Q123" s="5"/>
      <c r="R123" s="5">
        <v>6</v>
      </c>
      <c r="S123" s="346" t="e">
        <f t="shared" si="45"/>
        <v>#DIV/0!</v>
      </c>
      <c r="T123" s="5">
        <f t="shared" si="46"/>
        <v>0</v>
      </c>
      <c r="U123" s="417" t="e">
        <f t="shared" si="47"/>
        <v>#DIV/0!</v>
      </c>
      <c r="V123" s="264" t="e">
        <f t="shared" si="48"/>
        <v>#DIV/0!</v>
      </c>
      <c r="W123" s="5"/>
      <c r="X123" s="5"/>
      <c r="Y123" s="5"/>
    </row>
    <row r="124" spans="1:25" x14ac:dyDescent="0.2">
      <c r="A124" s="5"/>
      <c r="B124" s="5">
        <f>((F35-'Thermal calculation 2'!$K$82)*9.8/($B$22^2*PI()/4))</f>
        <v>1102.1563437922152</v>
      </c>
      <c r="C124" s="64" t="s">
        <v>1015</v>
      </c>
      <c r="D124" s="5" t="e">
        <f t="shared" si="49"/>
        <v>#DIV/0!</v>
      </c>
      <c r="E124" s="64" t="s">
        <v>941</v>
      </c>
      <c r="F124" s="5" t="e">
        <f t="shared" si="50"/>
        <v>#DIV/0!</v>
      </c>
      <c r="G124" s="64" t="s">
        <v>926</v>
      </c>
      <c r="H124" s="5"/>
      <c r="I124" s="5"/>
      <c r="J124" s="5">
        <f t="shared" si="44"/>
        <v>0</v>
      </c>
      <c r="K124" s="265" t="e">
        <f t="shared" si="51"/>
        <v>#DIV/0!</v>
      </c>
      <c r="L124" s="265" t="e">
        <f t="shared" si="52"/>
        <v>#DIV/0!</v>
      </c>
      <c r="M124" s="5">
        <f t="shared" si="53"/>
        <v>0</v>
      </c>
      <c r="N124" s="417" t="e">
        <f t="shared" si="54"/>
        <v>#DIV/0!</v>
      </c>
      <c r="O124" s="264" t="e">
        <f t="shared" si="55"/>
        <v>#DIV/0!</v>
      </c>
      <c r="P124" s="5"/>
      <c r="Q124" s="5"/>
      <c r="R124" s="5">
        <v>7</v>
      </c>
      <c r="S124" s="346" t="e">
        <f t="shared" si="45"/>
        <v>#DIV/0!</v>
      </c>
      <c r="T124" s="5">
        <f t="shared" si="46"/>
        <v>0</v>
      </c>
      <c r="U124" s="417" t="e">
        <f t="shared" si="47"/>
        <v>#DIV/0!</v>
      </c>
      <c r="V124" s="264" t="e">
        <f t="shared" si="48"/>
        <v>#DIV/0!</v>
      </c>
      <c r="W124" s="5"/>
      <c r="X124" s="5"/>
      <c r="Y124" s="5"/>
    </row>
    <row r="125" spans="1:25" x14ac:dyDescent="0.2">
      <c r="A125" s="5"/>
      <c r="B125" s="5">
        <f>((F36-'Thermal calculation 2'!$K$82)*9.8/($B$22^2*PI()/4))</f>
        <v>1102.1563437922152</v>
      </c>
      <c r="C125" s="64" t="s">
        <v>1015</v>
      </c>
      <c r="D125" s="5" t="e">
        <f t="shared" si="49"/>
        <v>#DIV/0!</v>
      </c>
      <c r="E125" s="64" t="s">
        <v>941</v>
      </c>
      <c r="F125" s="5" t="e">
        <f t="shared" si="50"/>
        <v>#DIV/0!</v>
      </c>
      <c r="G125" s="64" t="s">
        <v>926</v>
      </c>
      <c r="H125" s="5"/>
      <c r="I125" s="5"/>
      <c r="J125" s="5">
        <f t="shared" si="44"/>
        <v>0</v>
      </c>
      <c r="K125" s="265" t="e">
        <f t="shared" si="51"/>
        <v>#DIV/0!</v>
      </c>
      <c r="L125" s="265" t="e">
        <f t="shared" si="52"/>
        <v>#DIV/0!</v>
      </c>
      <c r="M125" s="5">
        <f t="shared" si="53"/>
        <v>0</v>
      </c>
      <c r="N125" s="417" t="e">
        <f t="shared" si="54"/>
        <v>#DIV/0!</v>
      </c>
      <c r="O125" s="264" t="e">
        <f t="shared" si="55"/>
        <v>#DIV/0!</v>
      </c>
      <c r="P125" s="5"/>
      <c r="Q125" s="5"/>
      <c r="R125" s="5">
        <v>8</v>
      </c>
      <c r="S125" s="346" t="e">
        <f t="shared" si="45"/>
        <v>#DIV/0!</v>
      </c>
      <c r="T125" s="5">
        <f t="shared" si="46"/>
        <v>0</v>
      </c>
      <c r="U125" s="417" t="e">
        <f t="shared" si="47"/>
        <v>#DIV/0!</v>
      </c>
      <c r="V125" s="264" t="e">
        <f t="shared" si="48"/>
        <v>#DIV/0!</v>
      </c>
      <c r="W125" s="5"/>
      <c r="X125" s="5"/>
      <c r="Y125" s="5"/>
    </row>
    <row r="126" spans="1:25" x14ac:dyDescent="0.2">
      <c r="A126" s="5"/>
      <c r="B126" s="5">
        <f>((F37-'Thermal calculation 2'!$K$82)*9.8/($B$22^2*PI()/4))</f>
        <v>1102.1563437922152</v>
      </c>
      <c r="C126" s="64" t="s">
        <v>1015</v>
      </c>
      <c r="D126" s="5" t="e">
        <f t="shared" si="49"/>
        <v>#DIV/0!</v>
      </c>
      <c r="E126" s="64" t="s">
        <v>941</v>
      </c>
      <c r="F126" s="5" t="e">
        <f t="shared" si="50"/>
        <v>#DIV/0!</v>
      </c>
      <c r="G126" s="64" t="s">
        <v>926</v>
      </c>
      <c r="H126" s="5"/>
      <c r="I126" s="5"/>
      <c r="J126" s="5">
        <f t="shared" si="44"/>
        <v>0</v>
      </c>
      <c r="K126" s="265" t="e">
        <f t="shared" si="51"/>
        <v>#DIV/0!</v>
      </c>
      <c r="L126" s="265" t="e">
        <f t="shared" si="52"/>
        <v>#DIV/0!</v>
      </c>
      <c r="M126" s="5">
        <f t="shared" si="53"/>
        <v>0</v>
      </c>
      <c r="N126" s="417" t="e">
        <f t="shared" si="54"/>
        <v>#DIV/0!</v>
      </c>
      <c r="O126" s="264" t="e">
        <f t="shared" si="55"/>
        <v>#DIV/0!</v>
      </c>
      <c r="P126" s="5"/>
      <c r="Q126" s="5"/>
      <c r="R126" s="5">
        <v>9</v>
      </c>
      <c r="S126" s="346" t="e">
        <f t="shared" si="45"/>
        <v>#DIV/0!</v>
      </c>
      <c r="T126" s="5">
        <f t="shared" si="46"/>
        <v>0</v>
      </c>
      <c r="U126" s="417" t="e">
        <f t="shared" si="47"/>
        <v>#DIV/0!</v>
      </c>
      <c r="V126" s="264" t="e">
        <f t="shared" si="48"/>
        <v>#DIV/0!</v>
      </c>
      <c r="W126" s="5"/>
      <c r="X126" s="5"/>
      <c r="Y126" s="5"/>
    </row>
    <row r="127" spans="1:25" ht="13.5" customHeight="1" x14ac:dyDescent="0.2">
      <c r="A127" s="5"/>
      <c r="B127" s="5">
        <f>((F38-'Thermal calculation 2'!$K$82)*9.8/($B$22^2*PI()/4))</f>
        <v>1102.1563437922152</v>
      </c>
      <c r="C127" s="64" t="s">
        <v>1015</v>
      </c>
      <c r="D127" s="5" t="e">
        <f t="shared" si="49"/>
        <v>#DIV/0!</v>
      </c>
      <c r="E127" s="64" t="s">
        <v>941</v>
      </c>
      <c r="F127" s="5" t="e">
        <f t="shared" si="50"/>
        <v>#DIV/0!</v>
      </c>
      <c r="G127" s="64" t="s">
        <v>926</v>
      </c>
      <c r="H127" s="5"/>
      <c r="I127" s="5"/>
      <c r="J127" s="5">
        <f t="shared" si="44"/>
        <v>0</v>
      </c>
      <c r="K127" s="265" t="e">
        <f t="shared" si="51"/>
        <v>#DIV/0!</v>
      </c>
      <c r="L127" s="265" t="e">
        <f t="shared" si="52"/>
        <v>#DIV/0!</v>
      </c>
      <c r="M127" s="5">
        <f t="shared" si="53"/>
        <v>0</v>
      </c>
      <c r="N127" s="417" t="e">
        <f t="shared" si="54"/>
        <v>#DIV/0!</v>
      </c>
      <c r="O127" s="264" t="e">
        <f t="shared" si="55"/>
        <v>#DIV/0!</v>
      </c>
      <c r="P127" s="5"/>
      <c r="Q127" s="5"/>
      <c r="R127" s="5"/>
      <c r="S127" s="5"/>
      <c r="T127" s="5"/>
      <c r="U127" s="392"/>
      <c r="V127" s="5"/>
      <c r="W127" s="5"/>
      <c r="X127" s="5"/>
      <c r="Y127" s="5"/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64"/>
      <c r="R128" s="5"/>
      <c r="S128" s="5"/>
      <c r="T128" s="5"/>
      <c r="U128" s="14"/>
      <c r="V128" s="5"/>
      <c r="W128" s="5"/>
      <c r="X128" s="5"/>
      <c r="Y128" s="5"/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366" t="s">
        <v>985</v>
      </c>
      <c r="K129" s="366"/>
      <c r="L129" s="366"/>
      <c r="M129" s="366"/>
      <c r="N129" s="5"/>
      <c r="O129" s="5"/>
      <c r="P129" s="5"/>
      <c r="Q129" s="64"/>
      <c r="R129" s="5"/>
      <c r="S129" s="5"/>
      <c r="T129" s="5"/>
      <c r="U129" s="14"/>
      <c r="V129" s="5"/>
      <c r="W129" s="5"/>
      <c r="X129" s="5"/>
      <c r="Y129" s="5"/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14"/>
      <c r="V130" s="5"/>
      <c r="W130" s="5"/>
      <c r="X130" s="5"/>
      <c r="Y130" s="5"/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423" t="s">
        <v>986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366" t="s">
        <v>1016</v>
      </c>
      <c r="K145" s="433"/>
      <c r="L145" s="433"/>
      <c r="M145" s="433"/>
      <c r="N145" s="433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</sheetData>
  <mergeCells count="63">
    <mergeCell ref="I94:K94"/>
    <mergeCell ref="M94:N94"/>
    <mergeCell ref="L90:P90"/>
    <mergeCell ref="L91:P91"/>
    <mergeCell ref="L92:P92"/>
    <mergeCell ref="I93:K93"/>
    <mergeCell ref="M93:N93"/>
    <mergeCell ref="O93:P93"/>
    <mergeCell ref="A55:A56"/>
    <mergeCell ref="D55:E56"/>
    <mergeCell ref="I55:I56"/>
    <mergeCell ref="L55:M56"/>
    <mergeCell ref="N55:O56"/>
    <mergeCell ref="B56:C56"/>
    <mergeCell ref="F56:G56"/>
    <mergeCell ref="J56:K56"/>
    <mergeCell ref="A48:C48"/>
    <mergeCell ref="E48:F48"/>
    <mergeCell ref="I48:K48"/>
    <mergeCell ref="M48:N48"/>
    <mergeCell ref="A51:H53"/>
    <mergeCell ref="I51:P53"/>
    <mergeCell ref="D46:H46"/>
    <mergeCell ref="L46:P46"/>
    <mergeCell ref="A47:C47"/>
    <mergeCell ref="E47:F47"/>
    <mergeCell ref="G47:H47"/>
    <mergeCell ref="I47:K47"/>
    <mergeCell ref="M47:N47"/>
    <mergeCell ref="O47:P47"/>
    <mergeCell ref="A25:H25"/>
    <mergeCell ref="I25:P25"/>
    <mergeCell ref="D44:H44"/>
    <mergeCell ref="L44:P44"/>
    <mergeCell ref="D45:H45"/>
    <mergeCell ref="L45:P45"/>
    <mergeCell ref="C17:H17"/>
    <mergeCell ref="K17:P17"/>
    <mergeCell ref="C20:H20"/>
    <mergeCell ref="K20:P20"/>
    <mergeCell ref="C21:H21"/>
    <mergeCell ref="K21:P21"/>
    <mergeCell ref="C18:H18"/>
    <mergeCell ref="A5:C5"/>
    <mergeCell ref="E5:F5"/>
    <mergeCell ref="I5:K5"/>
    <mergeCell ref="M5:N5"/>
    <mergeCell ref="C9:H10"/>
    <mergeCell ref="K9:P10"/>
    <mergeCell ref="O4:P4"/>
    <mergeCell ref="A1:C3"/>
    <mergeCell ref="D1:H1"/>
    <mergeCell ref="I1:K3"/>
    <mergeCell ref="L1:P1"/>
    <mergeCell ref="D2:H2"/>
    <mergeCell ref="L2:P2"/>
    <mergeCell ref="D3:H3"/>
    <mergeCell ref="L3:P3"/>
    <mergeCell ref="A4:C4"/>
    <mergeCell ref="E4:F4"/>
    <mergeCell ref="G4:H4"/>
    <mergeCell ref="I4:K4"/>
    <mergeCell ref="M4:N4"/>
  </mergeCells>
  <pageMargins left="0.74803149606299213" right="0.74803149606299213" top="0.98425196850393704" bottom="0.98425196850393704" header="0" footer="0"/>
  <pageSetup paperSize="9" scale="84" fitToHeight="0" orientation="portrait"/>
  <rowBreaks count="2" manualBreakCount="2">
    <brk id="43" min="8" max="15" man="1"/>
    <brk id="89" min="8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00B050"/>
    <pageSetUpPr fitToPage="1"/>
  </sheetPr>
  <dimension ref="A1:P85"/>
  <sheetViews>
    <sheetView topLeftCell="A51" workbookViewId="0">
      <selection activeCell="R26" sqref="R26"/>
    </sheetView>
    <sheetView tabSelected="1" topLeftCell="A55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10" max="10" width="10.140625" customWidth="1"/>
    <col min="14" max="14" width="12.42578125" customWidth="1"/>
    <col min="15" max="15" width="12.5703125" customWidth="1"/>
    <col min="18" max="18" width="8.140625" customWidth="1"/>
  </cols>
  <sheetData>
    <row r="1" spans="1:16" ht="17.25" customHeight="1" thickTop="1" thickBot="1" x14ac:dyDescent="0.3">
      <c r="A1" s="28"/>
      <c r="B1" s="4"/>
      <c r="C1" s="408"/>
      <c r="D1" s="934" t="str">
        <f>'Front Page'!$A$13</f>
        <v>Mechanical  Calculations</v>
      </c>
      <c r="E1" s="842"/>
      <c r="F1" s="842"/>
      <c r="G1" s="842"/>
      <c r="H1" s="859"/>
      <c r="I1" s="28"/>
      <c r="J1" s="4"/>
      <c r="K1" s="408"/>
      <c r="L1" s="934" t="str">
        <f>'Front Page'!$A$13</f>
        <v>Mechanical  Calculations</v>
      </c>
      <c r="M1" s="842"/>
      <c r="N1" s="842"/>
      <c r="O1" s="842"/>
      <c r="P1" s="859"/>
    </row>
    <row r="2" spans="1:16" ht="16.5" customHeight="1" thickBot="1" x14ac:dyDescent="0.3">
      <c r="A2" s="6"/>
      <c r="B2" s="5"/>
      <c r="C2" s="14"/>
      <c r="D2" s="984"/>
      <c r="E2" s="831"/>
      <c r="F2" s="831"/>
      <c r="G2" s="831"/>
      <c r="H2" s="854"/>
      <c r="I2" s="6"/>
      <c r="J2" s="5"/>
      <c r="K2" s="14"/>
      <c r="L2" s="984">
        <f>'Front Page'!$A$21</f>
        <v>0</v>
      </c>
      <c r="M2" s="831"/>
      <c r="N2" s="831"/>
      <c r="O2" s="831"/>
      <c r="P2" s="854"/>
    </row>
    <row r="3" spans="1:16" ht="16.5" customHeight="1" thickBot="1" x14ac:dyDescent="0.3">
      <c r="A3" s="6"/>
      <c r="B3" s="5"/>
      <c r="C3" s="14"/>
      <c r="D3" s="991" t="s">
        <v>1017</v>
      </c>
      <c r="E3" s="848"/>
      <c r="F3" s="848"/>
      <c r="G3" s="848"/>
      <c r="H3" s="849"/>
      <c r="I3" s="6"/>
      <c r="J3" s="5"/>
      <c r="K3" s="14"/>
      <c r="L3" s="991" t="s">
        <v>1018</v>
      </c>
      <c r="M3" s="848"/>
      <c r="N3" s="848"/>
      <c r="O3" s="848"/>
      <c r="P3" s="849"/>
    </row>
    <row r="4" spans="1:16" ht="16.5" customHeight="1" thickTop="1" thickBot="1" x14ac:dyDescent="0.3">
      <c r="A4" s="830"/>
      <c r="B4" s="831"/>
      <c r="C4" s="832"/>
      <c r="D4" s="130" t="str">
        <f>'Front Page'!$D$4</f>
        <v>Doc Nº</v>
      </c>
      <c r="E4" s="980"/>
      <c r="F4" s="843"/>
      <c r="G4" s="846"/>
      <c r="H4" s="832"/>
      <c r="I4" s="830"/>
      <c r="J4" s="831"/>
      <c r="K4" s="832"/>
      <c r="L4" s="130" t="str">
        <f>'Front Page'!$D$4</f>
        <v>Doc Nº</v>
      </c>
      <c r="M4" s="980"/>
      <c r="N4" s="843"/>
      <c r="O4" s="846"/>
      <c r="P4" s="832"/>
    </row>
    <row r="5" spans="1:16" ht="15.75" customHeight="1" thickBot="1" x14ac:dyDescent="0.3">
      <c r="A5" s="987"/>
      <c r="B5" s="834"/>
      <c r="C5" s="835"/>
      <c r="D5" s="133" t="str">
        <f>'Front Page'!$D$5</f>
        <v>Project</v>
      </c>
      <c r="E5" s="899"/>
      <c r="F5" s="835"/>
      <c r="G5" s="131" t="s">
        <v>5</v>
      </c>
      <c r="H5" s="132"/>
      <c r="I5" s="987"/>
      <c r="J5" s="834"/>
      <c r="K5" s="835"/>
      <c r="L5" s="133" t="str">
        <f>'Front Page'!$D$5</f>
        <v>Project</v>
      </c>
      <c r="M5" s="899"/>
      <c r="N5" s="835"/>
      <c r="O5" s="131" t="s">
        <v>5</v>
      </c>
      <c r="P5" s="427"/>
    </row>
    <row r="6" spans="1:16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 customHeight="1" x14ac:dyDescent="0.25">
      <c r="A7" s="134" t="s">
        <v>883</v>
      </c>
      <c r="B7" s="5"/>
      <c r="C7" s="5"/>
      <c r="D7" s="5"/>
      <c r="E7" s="65"/>
      <c r="F7" s="65"/>
      <c r="G7" s="142"/>
      <c r="H7" s="117"/>
      <c r="I7" s="134" t="s">
        <v>1019</v>
      </c>
      <c r="J7" s="5"/>
      <c r="K7" s="5"/>
      <c r="L7" s="5"/>
      <c r="M7" s="65"/>
      <c r="N7" s="65"/>
      <c r="O7" s="142"/>
      <c r="P7" s="117"/>
    </row>
    <row r="8" spans="1:16" ht="12" customHeight="1" x14ac:dyDescent="0.2">
      <c r="A8" s="118"/>
      <c r="B8" s="5"/>
      <c r="C8" s="5"/>
      <c r="D8" s="5"/>
      <c r="E8" s="65"/>
      <c r="F8" s="65"/>
      <c r="G8" s="142"/>
      <c r="H8" s="117"/>
      <c r="I8" s="118"/>
      <c r="J8" s="5"/>
      <c r="K8" s="5"/>
      <c r="L8" s="5"/>
      <c r="M8" s="65"/>
      <c r="N8" s="65"/>
      <c r="O8" s="142"/>
      <c r="P8" s="117"/>
    </row>
    <row r="9" spans="1:16" ht="12.75" customHeight="1" x14ac:dyDescent="0.2">
      <c r="A9" s="5" t="s">
        <v>197</v>
      </c>
      <c r="B9" s="387">
        <f>'Weight Calculations'!H71</f>
        <v>37483.613497718368</v>
      </c>
      <c r="C9" s="901" t="s">
        <v>884</v>
      </c>
      <c r="D9" s="809"/>
      <c r="E9" s="809"/>
      <c r="F9" s="809"/>
      <c r="G9" s="809"/>
      <c r="H9" s="809"/>
      <c r="I9" s="5" t="s">
        <v>197</v>
      </c>
      <c r="J9" s="387">
        <f>B9*2.205</f>
        <v>82651.367762469003</v>
      </c>
      <c r="K9" s="901" t="s">
        <v>885</v>
      </c>
      <c r="L9" s="809"/>
      <c r="M9" s="809"/>
      <c r="N9" s="809"/>
      <c r="O9" s="809"/>
      <c r="P9" s="809"/>
    </row>
    <row r="10" spans="1:16" ht="15" customHeight="1" x14ac:dyDescent="0.2">
      <c r="A10" s="5"/>
      <c r="B10" s="5"/>
      <c r="C10" s="809"/>
      <c r="D10" s="809"/>
      <c r="E10" s="809"/>
      <c r="F10" s="809"/>
      <c r="G10" s="809"/>
      <c r="H10" s="809"/>
      <c r="I10" s="5"/>
      <c r="J10" s="5"/>
      <c r="K10" s="809"/>
      <c r="L10" s="809"/>
      <c r="M10" s="809"/>
      <c r="N10" s="809"/>
      <c r="O10" s="809"/>
      <c r="P10" s="809"/>
    </row>
    <row r="11" spans="1:16" x14ac:dyDescent="0.2">
      <c r="A11" s="5" t="s">
        <v>886</v>
      </c>
      <c r="B11" s="389">
        <f>'Main Dimensions Calcs'!D18</f>
        <v>8000</v>
      </c>
      <c r="C11" s="64" t="s">
        <v>887</v>
      </c>
      <c r="D11" s="5"/>
      <c r="E11" s="65"/>
      <c r="F11" s="65"/>
      <c r="G11" s="142"/>
      <c r="H11" s="117"/>
      <c r="I11" s="5" t="s">
        <v>886</v>
      </c>
      <c r="J11" s="389">
        <f>B11*0.062428</f>
        <v>499.42399999999998</v>
      </c>
      <c r="K11" s="64" t="s">
        <v>888</v>
      </c>
      <c r="L11" s="5"/>
      <c r="M11" s="65"/>
      <c r="N11" s="65"/>
      <c r="O11" s="142"/>
      <c r="P11" s="117"/>
    </row>
    <row r="12" spans="1:16" x14ac:dyDescent="0.2">
      <c r="A12" s="5"/>
      <c r="B12" s="5"/>
      <c r="C12" s="5"/>
      <c r="D12" s="5"/>
      <c r="E12" s="65"/>
      <c r="F12" s="65"/>
      <c r="G12" s="142"/>
      <c r="H12" s="117"/>
      <c r="I12" s="5"/>
      <c r="J12" s="5"/>
      <c r="K12" s="5"/>
      <c r="L12" s="5"/>
      <c r="M12" s="65"/>
      <c r="N12" s="65"/>
      <c r="O12" s="142"/>
      <c r="P12" s="117"/>
    </row>
    <row r="13" spans="1:16" x14ac:dyDescent="0.2">
      <c r="A13" s="5" t="s">
        <v>889</v>
      </c>
      <c r="B13" s="389">
        <v>1000</v>
      </c>
      <c r="C13" s="64" t="s">
        <v>1020</v>
      </c>
      <c r="D13" s="5"/>
      <c r="E13" s="65"/>
      <c r="F13" s="65"/>
      <c r="G13" s="142"/>
      <c r="H13" s="117"/>
      <c r="I13" s="5" t="s">
        <v>889</v>
      </c>
      <c r="J13" s="389">
        <f>B13*0.062428</f>
        <v>62.427999999999997</v>
      </c>
      <c r="K13" s="64" t="s">
        <v>1021</v>
      </c>
      <c r="L13" s="5"/>
      <c r="M13" s="65"/>
      <c r="N13" s="65"/>
      <c r="O13" s="142"/>
      <c r="P13" s="117"/>
    </row>
    <row r="14" spans="1:16" ht="17.25" customHeight="1" x14ac:dyDescent="0.2">
      <c r="A14" s="5" t="s">
        <v>892</v>
      </c>
      <c r="B14" s="389">
        <f>'Design Conditions'!G25</f>
        <v>0.1875</v>
      </c>
      <c r="C14" s="64" t="s">
        <v>893</v>
      </c>
      <c r="D14" s="5"/>
      <c r="E14" s="5"/>
      <c r="F14" s="5"/>
      <c r="G14" s="5"/>
      <c r="H14" s="5"/>
      <c r="I14" s="5" t="s">
        <v>892</v>
      </c>
      <c r="J14" s="391">
        <f>B14*14.5</f>
        <v>2.71875</v>
      </c>
      <c r="K14" s="64" t="s">
        <v>894</v>
      </c>
      <c r="L14" s="5"/>
      <c r="M14" s="5"/>
      <c r="N14" s="5"/>
      <c r="O14" s="5"/>
      <c r="P14" s="5"/>
    </row>
    <row r="15" spans="1:16" x14ac:dyDescent="0.2">
      <c r="A15" s="5" t="s">
        <v>895</v>
      </c>
      <c r="B15" s="333">
        <f>'Design Conditions'!G16</f>
        <v>8.0000000000000002E-3</v>
      </c>
      <c r="C15" s="64" t="s">
        <v>896</v>
      </c>
      <c r="D15" s="5"/>
      <c r="E15" s="5"/>
      <c r="F15" s="5"/>
      <c r="G15" s="5"/>
      <c r="H15" s="5"/>
      <c r="I15" s="5" t="s">
        <v>895</v>
      </c>
      <c r="J15" s="428">
        <f>B15*14.5</f>
        <v>0.11600000000000001</v>
      </c>
      <c r="K15" s="64" t="s">
        <v>897</v>
      </c>
      <c r="L15" s="5"/>
      <c r="M15" s="5"/>
      <c r="N15" s="5"/>
      <c r="O15" s="5"/>
      <c r="P15" s="5"/>
    </row>
    <row r="16" spans="1:16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27" customHeight="1" x14ac:dyDescent="0.2">
      <c r="A17" s="5" t="s">
        <v>898</v>
      </c>
      <c r="B17" s="389">
        <f>'Allowable Stresses'!I31</f>
        <v>186.15554329840046</v>
      </c>
      <c r="C17" s="982" t="s">
        <v>899</v>
      </c>
      <c r="D17" s="809"/>
      <c r="E17" s="809"/>
      <c r="F17" s="809"/>
      <c r="G17" s="809"/>
      <c r="H17" s="809"/>
      <c r="I17" s="5" t="s">
        <v>898</v>
      </c>
      <c r="J17" s="390">
        <f>B17*145.04</f>
        <v>27000</v>
      </c>
      <c r="K17" s="901" t="s">
        <v>900</v>
      </c>
      <c r="L17" s="809"/>
      <c r="M17" s="809"/>
      <c r="N17" s="809"/>
      <c r="O17" s="809"/>
      <c r="P17" s="809"/>
    </row>
    <row r="18" spans="1:16" x14ac:dyDescent="0.2">
      <c r="A18" s="5" t="s">
        <v>901</v>
      </c>
      <c r="B18" s="389">
        <f>'Allowable Stresses'!E31</f>
        <v>517.09873138444573</v>
      </c>
      <c r="C18" s="5" t="s">
        <v>902</v>
      </c>
      <c r="D18" s="5"/>
      <c r="E18" s="5"/>
      <c r="F18" s="5"/>
      <c r="G18" s="5"/>
      <c r="H18" s="5"/>
      <c r="I18" s="5" t="s">
        <v>901</v>
      </c>
      <c r="J18" s="389">
        <f>B18*145.04</f>
        <v>75000</v>
      </c>
      <c r="K18" s="64" t="s">
        <v>903</v>
      </c>
      <c r="L18" s="5"/>
      <c r="M18" s="5"/>
      <c r="N18" s="5"/>
      <c r="O18" s="5"/>
      <c r="P18" s="5"/>
    </row>
    <row r="19" spans="1:16" ht="13.5" customHeight="1" x14ac:dyDescent="0.2">
      <c r="A19" s="5" t="s">
        <v>904</v>
      </c>
      <c r="B19" s="216">
        <v>1</v>
      </c>
      <c r="C19" s="901" t="s">
        <v>1022</v>
      </c>
      <c r="D19" s="809"/>
      <c r="E19" s="809"/>
      <c r="F19" s="809"/>
      <c r="G19" s="809"/>
      <c r="H19" s="809"/>
      <c r="I19" s="5" t="s">
        <v>904</v>
      </c>
      <c r="J19" s="216">
        <v>1</v>
      </c>
      <c r="K19" s="901" t="s">
        <v>1022</v>
      </c>
      <c r="L19" s="809"/>
      <c r="M19" s="809"/>
      <c r="N19" s="809"/>
      <c r="O19" s="809"/>
      <c r="P19" s="809"/>
    </row>
    <row r="20" spans="1:16" ht="15.75" customHeight="1" x14ac:dyDescent="0.2">
      <c r="A20" s="5" t="s">
        <v>906</v>
      </c>
      <c r="B20" s="216">
        <v>1</v>
      </c>
      <c r="C20" s="901" t="s">
        <v>1023</v>
      </c>
      <c r="D20" s="809"/>
      <c r="E20" s="809"/>
      <c r="F20" s="809"/>
      <c r="G20" s="809"/>
      <c r="H20" s="809"/>
      <c r="I20" s="5" t="s">
        <v>906</v>
      </c>
      <c r="J20" s="216">
        <v>1</v>
      </c>
      <c r="K20" s="901" t="s">
        <v>1023</v>
      </c>
      <c r="L20" s="809"/>
      <c r="M20" s="809"/>
      <c r="N20" s="809"/>
      <c r="O20" s="809"/>
      <c r="P20" s="809"/>
    </row>
    <row r="21" spans="1:16" x14ac:dyDescent="0.2">
      <c r="A21" s="5" t="s">
        <v>908</v>
      </c>
      <c r="B21" s="389">
        <f>'Main Dimensions Calcs'!D53/1000</f>
        <v>20.6</v>
      </c>
      <c r="C21" s="64" t="s">
        <v>909</v>
      </c>
      <c r="D21" s="5"/>
      <c r="E21" s="5"/>
      <c r="F21" s="5"/>
      <c r="G21" s="5"/>
      <c r="H21" s="5"/>
      <c r="I21" s="5" t="s">
        <v>908</v>
      </c>
      <c r="J21" s="390">
        <f>B21*1000/25.4</f>
        <v>811.02362204724409</v>
      </c>
      <c r="K21" s="64" t="s">
        <v>910</v>
      </c>
      <c r="L21" s="5"/>
      <c r="M21" s="5"/>
      <c r="N21" s="5"/>
      <c r="O21" s="5"/>
      <c r="P21" s="5"/>
    </row>
    <row r="22" spans="1:16" x14ac:dyDescent="0.2">
      <c r="A22" s="5" t="s">
        <v>911</v>
      </c>
      <c r="B22" s="389">
        <f>'Main Dimensions Calcs'!D51/1000</f>
        <v>4.3499999999999996</v>
      </c>
      <c r="C22" s="64" t="s">
        <v>1024</v>
      </c>
      <c r="D22" s="5"/>
      <c r="E22" s="5"/>
      <c r="F22" s="5"/>
      <c r="G22" s="5"/>
      <c r="H22" s="5"/>
      <c r="I22" s="5" t="s">
        <v>911</v>
      </c>
      <c r="J22" s="390">
        <f>B22*1000/25.4</f>
        <v>171.25984251968504</v>
      </c>
      <c r="K22" s="64" t="s">
        <v>1025</v>
      </c>
      <c r="L22" s="5"/>
      <c r="M22" s="5"/>
      <c r="N22" s="5"/>
      <c r="O22" s="5"/>
      <c r="P22" s="5"/>
    </row>
    <row r="23" spans="1:16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36" customHeight="1" x14ac:dyDescent="0.25">
      <c r="A24" s="983" t="s">
        <v>1026</v>
      </c>
      <c r="B24" s="809"/>
      <c r="C24" s="809"/>
      <c r="D24" s="809"/>
      <c r="E24" s="809"/>
      <c r="F24" s="809"/>
      <c r="G24" s="809"/>
      <c r="H24" s="809"/>
      <c r="I24" s="983" t="s">
        <v>1026</v>
      </c>
      <c r="J24" s="809"/>
      <c r="K24" s="809"/>
      <c r="L24" s="809"/>
      <c r="M24" s="809"/>
      <c r="N24" s="809"/>
      <c r="O24" s="809"/>
      <c r="P24" s="809"/>
    </row>
    <row r="25" spans="1:16" ht="13.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27" customHeight="1" x14ac:dyDescent="0.2">
      <c r="A26" s="218" t="s">
        <v>256</v>
      </c>
      <c r="B26" s="218" t="s">
        <v>254</v>
      </c>
      <c r="C26" s="218" t="s">
        <v>255</v>
      </c>
      <c r="D26" s="5" t="s">
        <v>282</v>
      </c>
      <c r="E26" s="218" t="s">
        <v>917</v>
      </c>
      <c r="F26" s="218" t="s">
        <v>918</v>
      </c>
      <c r="G26" s="218" t="s">
        <v>919</v>
      </c>
      <c r="H26" s="5"/>
      <c r="I26" s="410" t="s">
        <v>256</v>
      </c>
      <c r="J26" s="410" t="s">
        <v>254</v>
      </c>
      <c r="K26" s="410" t="s">
        <v>255</v>
      </c>
      <c r="L26" s="411" t="s">
        <v>282</v>
      </c>
      <c r="M26" s="410" t="s">
        <v>917</v>
      </c>
      <c r="N26" s="410" t="s">
        <v>918</v>
      </c>
      <c r="O26" s="410" t="s">
        <v>919</v>
      </c>
      <c r="P26" s="5"/>
    </row>
    <row r="27" spans="1:16" ht="29.25" customHeight="1" x14ac:dyDescent="0.2">
      <c r="A27" s="413" t="s">
        <v>253</v>
      </c>
      <c r="B27" s="298" t="s">
        <v>920</v>
      </c>
      <c r="C27" s="298" t="s">
        <v>1027</v>
      </c>
      <c r="D27" s="298" t="s">
        <v>1028</v>
      </c>
      <c r="E27" s="298" t="s">
        <v>922</v>
      </c>
      <c r="F27" s="298" t="s">
        <v>923</v>
      </c>
      <c r="G27" s="298" t="s">
        <v>924</v>
      </c>
      <c r="H27" s="5"/>
      <c r="I27" s="414" t="s">
        <v>253</v>
      </c>
      <c r="J27" s="434" t="s">
        <v>920</v>
      </c>
      <c r="K27" s="434" t="s">
        <v>1027</v>
      </c>
      <c r="L27" s="434" t="s">
        <v>1028</v>
      </c>
      <c r="M27" s="434" t="s">
        <v>922</v>
      </c>
      <c r="N27" s="434" t="s">
        <v>923</v>
      </c>
      <c r="O27" s="434" t="s">
        <v>924</v>
      </c>
      <c r="P27" s="5"/>
    </row>
    <row r="28" spans="1:16" x14ac:dyDescent="0.2">
      <c r="A28" s="5"/>
      <c r="B28" s="14" t="s">
        <v>247</v>
      </c>
      <c r="C28" s="14" t="s">
        <v>247</v>
      </c>
      <c r="D28" s="5"/>
      <c r="E28" s="14" t="s">
        <v>408</v>
      </c>
      <c r="F28" s="14" t="s">
        <v>447</v>
      </c>
      <c r="G28" s="14" t="s">
        <v>925</v>
      </c>
      <c r="H28" s="5"/>
      <c r="I28" s="289"/>
      <c r="J28" s="140" t="s">
        <v>248</v>
      </c>
      <c r="K28" s="140" t="s">
        <v>248</v>
      </c>
      <c r="L28" s="289"/>
      <c r="M28" s="140" t="s">
        <v>248</v>
      </c>
      <c r="N28" s="140" t="s">
        <v>821</v>
      </c>
      <c r="O28" s="140" t="s">
        <v>926</v>
      </c>
      <c r="P28" s="5"/>
    </row>
    <row r="29" spans="1:16" x14ac:dyDescent="0.2">
      <c r="A29" s="14">
        <v>1</v>
      </c>
      <c r="B29" s="399">
        <f>'Main Dimensions Calcs'!H7</f>
        <v>8</v>
      </c>
      <c r="C29" s="399">
        <f>'Main Dimensions Calcs'!I7</f>
        <v>2000</v>
      </c>
      <c r="D29" s="399">
        <f>'Main Dimensions Calcs'!K7</f>
        <v>1</v>
      </c>
      <c r="E29" s="400">
        <f>B22</f>
        <v>4.3499999999999996</v>
      </c>
      <c r="F29" s="260">
        <f>$B$21*PI()*$B$11*(SUMPRODUCT(B29:B38,C29:C38))/1000000+B9+('Main Dimensions Calcs'!$D$74*'Main Dimensions Calcs'!$D$53*PI()/1000000000)*1.02*$B$11*SUM(D29:D35)</f>
        <v>72983.63058947603</v>
      </c>
      <c r="G29" s="401">
        <f t="shared" ref="G29:G37" si="0">$B$14*0.1+$B$13*E29*0.0000098-$B$15*0.1</f>
        <v>6.0579999999999995E-2</v>
      </c>
      <c r="H29" s="5"/>
      <c r="I29" s="402">
        <v>1</v>
      </c>
      <c r="J29" s="430">
        <f t="shared" ref="J29:J37" si="1">B29/25.4</f>
        <v>0.31496062992125984</v>
      </c>
      <c r="K29" s="403">
        <f t="shared" ref="K29:K37" si="2">C29/25.4</f>
        <v>78.740157480314963</v>
      </c>
      <c r="L29" s="403">
        <f t="shared" ref="L29:L37" si="3">D29</f>
        <v>1</v>
      </c>
      <c r="M29" s="405">
        <f t="shared" ref="M29:M37" si="4">E29*1000/25.4</f>
        <v>171.25984251968504</v>
      </c>
      <c r="N29" s="406">
        <f t="shared" ref="N29:N37" si="5">F29*2.205</f>
        <v>160928.90544979466</v>
      </c>
      <c r="O29" s="407">
        <f t="shared" ref="O29:O37" si="6">G29*145.04</f>
        <v>8.7865231999999995</v>
      </c>
      <c r="P29" s="5"/>
    </row>
    <row r="30" spans="1:16" x14ac:dyDescent="0.2">
      <c r="A30" s="14">
        <v>2</v>
      </c>
      <c r="B30" s="399">
        <f>'Main Dimensions Calcs'!H8</f>
        <v>8</v>
      </c>
      <c r="C30" s="399">
        <f>'Main Dimensions Calcs'!I8</f>
        <v>2000</v>
      </c>
      <c r="D30" s="399">
        <f>'Main Dimensions Calcs'!K8</f>
        <v>2</v>
      </c>
      <c r="E30" s="400">
        <f t="shared" ref="E30:E37" si="7">IF(E29-C29/1000&gt;0,E29-C29/1000,0)</f>
        <v>2.3499999999999996</v>
      </c>
      <c r="F30" s="260">
        <f>F29-B29*C29*$B$21*PI()*$B$11/1000000-('Main Dimensions Calcs'!$D$74*'Main Dimensions Calcs'!$D$53*PI()/1000000000)*1.02*$B$11*D29</f>
        <v>64066.172090053071</v>
      </c>
      <c r="G30" s="401">
        <f t="shared" si="0"/>
        <v>4.0979999999999996E-2</v>
      </c>
      <c r="H30" s="5"/>
      <c r="I30" s="402">
        <v>2</v>
      </c>
      <c r="J30" s="430">
        <f t="shared" si="1"/>
        <v>0.31496062992125984</v>
      </c>
      <c r="K30" s="403">
        <f t="shared" si="2"/>
        <v>78.740157480314963</v>
      </c>
      <c r="L30" s="403">
        <f t="shared" si="3"/>
        <v>2</v>
      </c>
      <c r="M30" s="405">
        <f t="shared" si="4"/>
        <v>92.51968503937006</v>
      </c>
      <c r="N30" s="406">
        <f t="shared" si="5"/>
        <v>141265.90945856704</v>
      </c>
      <c r="O30" s="407">
        <f t="shared" si="6"/>
        <v>5.9437391999999987</v>
      </c>
      <c r="P30" s="5"/>
    </row>
    <row r="31" spans="1:16" x14ac:dyDescent="0.2">
      <c r="A31" s="14">
        <v>3</v>
      </c>
      <c r="B31" s="399">
        <f>'Main Dimensions Calcs'!H9</f>
        <v>8</v>
      </c>
      <c r="C31" s="399">
        <f>'Main Dimensions Calcs'!I9</f>
        <v>2000</v>
      </c>
      <c r="D31" s="399">
        <f>'Main Dimensions Calcs'!K9</f>
        <v>2</v>
      </c>
      <c r="E31" s="400">
        <f t="shared" si="7"/>
        <v>0.34999999999999964</v>
      </c>
      <c r="F31" s="260">
        <f>F30-B30*C30*$B$21*PI()*$B$11/1000000-('Main Dimensions Calcs'!$D$74*'Main Dimensions Calcs'!$D$53*PI()/1000000000)*1.02*$B$11*D30</f>
        <v>54515.006600192712</v>
      </c>
      <c r="G31" s="401">
        <f t="shared" si="0"/>
        <v>2.138E-2</v>
      </c>
      <c r="H31" s="5"/>
      <c r="I31" s="402">
        <v>3</v>
      </c>
      <c r="J31" s="430">
        <f t="shared" si="1"/>
        <v>0.31496062992125984</v>
      </c>
      <c r="K31" s="403">
        <f t="shared" si="2"/>
        <v>78.740157480314963</v>
      </c>
      <c r="L31" s="403">
        <f t="shared" si="3"/>
        <v>2</v>
      </c>
      <c r="M31" s="405">
        <f t="shared" si="4"/>
        <v>13.779527559055106</v>
      </c>
      <c r="N31" s="406">
        <f t="shared" si="5"/>
        <v>120205.58955342493</v>
      </c>
      <c r="O31" s="407">
        <f t="shared" si="6"/>
        <v>3.1009551999999996</v>
      </c>
      <c r="P31" s="5"/>
    </row>
    <row r="32" spans="1:16" ht="14.25" customHeight="1" x14ac:dyDescent="0.2">
      <c r="A32" s="14">
        <v>4</v>
      </c>
      <c r="B32" s="399">
        <f>'Main Dimensions Calcs'!H10</f>
        <v>8</v>
      </c>
      <c r="C32" s="399">
        <f>'Main Dimensions Calcs'!I10</f>
        <v>1500</v>
      </c>
      <c r="D32" s="399">
        <f>'Main Dimensions Calcs'!K10</f>
        <v>2</v>
      </c>
      <c r="E32" s="400">
        <f t="shared" si="7"/>
        <v>0</v>
      </c>
      <c r="F32" s="260">
        <f>F31-B31*C31*$B$21*PI()*$B$11/1000000-('Main Dimensions Calcs'!$D$74*'Main Dimensions Calcs'!$D$53*PI()/1000000000)*1.02*$B$11*D31</f>
        <v>44963.841110332352</v>
      </c>
      <c r="G32" s="401">
        <f t="shared" si="0"/>
        <v>1.7950000000000004E-2</v>
      </c>
      <c r="H32" s="5"/>
      <c r="I32" s="402">
        <v>4</v>
      </c>
      <c r="J32" s="430">
        <f t="shared" si="1"/>
        <v>0.31496062992125984</v>
      </c>
      <c r="K32" s="403">
        <f t="shared" si="2"/>
        <v>59.055118110236222</v>
      </c>
      <c r="L32" s="403">
        <f t="shared" si="3"/>
        <v>2</v>
      </c>
      <c r="M32" s="405">
        <f t="shared" si="4"/>
        <v>0</v>
      </c>
      <c r="N32" s="406">
        <f t="shared" si="5"/>
        <v>99145.269648282847</v>
      </c>
      <c r="O32" s="407">
        <f t="shared" si="6"/>
        <v>2.6034680000000003</v>
      </c>
      <c r="P32" s="5"/>
    </row>
    <row r="33" spans="1:16" x14ac:dyDescent="0.2">
      <c r="A33" s="14">
        <v>5</v>
      </c>
      <c r="B33" s="399">
        <f>'Main Dimensions Calcs'!H11</f>
        <v>0</v>
      </c>
      <c r="C33" s="399">
        <f>'Main Dimensions Calcs'!I11</f>
        <v>0</v>
      </c>
      <c r="D33" s="399">
        <f>'Main Dimensions Calcs'!K11</f>
        <v>0</v>
      </c>
      <c r="E33" s="400">
        <f t="shared" si="7"/>
        <v>0</v>
      </c>
      <c r="F33" s="260">
        <f>F32-B32*C32*$B$21*PI()*$B$11/1000000-('Main Dimensions Calcs'!$D$74*'Main Dimensions Calcs'!$D$53*PI()/1000000000)*1.02*$B$11*D32</f>
        <v>37483.613497718383</v>
      </c>
      <c r="G33" s="401">
        <f t="shared" si="0"/>
        <v>1.7950000000000004E-2</v>
      </c>
      <c r="H33" s="5"/>
      <c r="I33" s="402">
        <v>5</v>
      </c>
      <c r="J33" s="430">
        <f t="shared" si="1"/>
        <v>0</v>
      </c>
      <c r="K33" s="403">
        <f t="shared" si="2"/>
        <v>0</v>
      </c>
      <c r="L33" s="403">
        <f t="shared" si="3"/>
        <v>0</v>
      </c>
      <c r="M33" s="405">
        <f t="shared" si="4"/>
        <v>0</v>
      </c>
      <c r="N33" s="406">
        <f t="shared" si="5"/>
        <v>82651.367762469032</v>
      </c>
      <c r="O33" s="407">
        <f t="shared" si="6"/>
        <v>2.6034680000000003</v>
      </c>
      <c r="P33" s="5"/>
    </row>
    <row r="34" spans="1:16" x14ac:dyDescent="0.2">
      <c r="A34" s="14">
        <v>6</v>
      </c>
      <c r="B34" s="399">
        <f>'Main Dimensions Calcs'!H12</f>
        <v>0</v>
      </c>
      <c r="C34" s="399">
        <f>'Main Dimensions Calcs'!I12</f>
        <v>0</v>
      </c>
      <c r="D34" s="399">
        <f>'Main Dimensions Calcs'!K12</f>
        <v>0</v>
      </c>
      <c r="E34" s="400">
        <f t="shared" si="7"/>
        <v>0</v>
      </c>
      <c r="F34" s="260">
        <f>F33-B33*C33*$B$21*PI()*$B$11/1000000-('Main Dimensions Calcs'!$D$74*'Main Dimensions Calcs'!$D$53*PI()/1000000000)*1.02*$B$11*D33</f>
        <v>37483.613497718383</v>
      </c>
      <c r="G34" s="401">
        <f t="shared" si="0"/>
        <v>1.7950000000000004E-2</v>
      </c>
      <c r="H34" s="5"/>
      <c r="I34" s="402">
        <v>6</v>
      </c>
      <c r="J34" s="430">
        <f t="shared" si="1"/>
        <v>0</v>
      </c>
      <c r="K34" s="403">
        <f t="shared" si="2"/>
        <v>0</v>
      </c>
      <c r="L34" s="403">
        <f t="shared" si="3"/>
        <v>0</v>
      </c>
      <c r="M34" s="405">
        <f t="shared" si="4"/>
        <v>0</v>
      </c>
      <c r="N34" s="406">
        <f t="shared" si="5"/>
        <v>82651.367762469032</v>
      </c>
      <c r="O34" s="407">
        <f t="shared" si="6"/>
        <v>2.6034680000000003</v>
      </c>
      <c r="P34" s="5"/>
    </row>
    <row r="35" spans="1:16" x14ac:dyDescent="0.2">
      <c r="A35" s="14">
        <v>7</v>
      </c>
      <c r="B35" s="399">
        <f>'Main Dimensions Calcs'!H13</f>
        <v>0</v>
      </c>
      <c r="C35" s="399">
        <f>'Main Dimensions Calcs'!I13</f>
        <v>0</v>
      </c>
      <c r="D35" s="399">
        <f>'Main Dimensions Calcs'!K13</f>
        <v>0</v>
      </c>
      <c r="E35" s="400">
        <f t="shared" si="7"/>
        <v>0</v>
      </c>
      <c r="F35" s="260">
        <f>F34-B34*C34*$B$21*PI()*$B$11/1000000-('Main Dimensions Calcs'!$D$74*'Main Dimensions Calcs'!$D$53*PI()/1000000000)*1.02*$B$11*D34</f>
        <v>37483.613497718383</v>
      </c>
      <c r="G35" s="401">
        <f t="shared" si="0"/>
        <v>1.7950000000000004E-2</v>
      </c>
      <c r="H35" s="5"/>
      <c r="I35" s="402">
        <v>7</v>
      </c>
      <c r="J35" s="430">
        <f t="shared" si="1"/>
        <v>0</v>
      </c>
      <c r="K35" s="403">
        <f t="shared" si="2"/>
        <v>0</v>
      </c>
      <c r="L35" s="403">
        <f t="shared" si="3"/>
        <v>0</v>
      </c>
      <c r="M35" s="405">
        <f t="shared" si="4"/>
        <v>0</v>
      </c>
      <c r="N35" s="406">
        <f t="shared" si="5"/>
        <v>82651.367762469032</v>
      </c>
      <c r="O35" s="407">
        <f t="shared" si="6"/>
        <v>2.6034680000000003</v>
      </c>
      <c r="P35" s="5"/>
    </row>
    <row r="36" spans="1:16" x14ac:dyDescent="0.2">
      <c r="A36" s="14">
        <v>8</v>
      </c>
      <c r="B36" s="399">
        <f>'Main Dimensions Calcs'!H14</f>
        <v>0</v>
      </c>
      <c r="C36" s="399">
        <f>'Main Dimensions Calcs'!J16</f>
        <v>0</v>
      </c>
      <c r="D36" s="399">
        <f>'Main Dimensions Calcs'!K14</f>
        <v>0</v>
      </c>
      <c r="E36" s="400">
        <f t="shared" si="7"/>
        <v>0</v>
      </c>
      <c r="F36" s="260">
        <f>F35-B35*C35*$B$21*PI()*$B$11/1000000-('Main Dimensions Calcs'!$D$74*'Main Dimensions Calcs'!$D$53*PI()/1000000000)*1.02*$B$11*D35</f>
        <v>37483.613497718383</v>
      </c>
      <c r="G36" s="401">
        <f t="shared" si="0"/>
        <v>1.7950000000000004E-2</v>
      </c>
      <c r="H36" s="5"/>
      <c r="I36" s="402">
        <v>8</v>
      </c>
      <c r="J36" s="430">
        <f t="shared" si="1"/>
        <v>0</v>
      </c>
      <c r="K36" s="403">
        <f t="shared" si="2"/>
        <v>0</v>
      </c>
      <c r="L36" s="403">
        <f t="shared" si="3"/>
        <v>0</v>
      </c>
      <c r="M36" s="405">
        <f t="shared" si="4"/>
        <v>0</v>
      </c>
      <c r="N36" s="406">
        <f t="shared" si="5"/>
        <v>82651.367762469032</v>
      </c>
      <c r="O36" s="407">
        <f t="shared" si="6"/>
        <v>2.6034680000000003</v>
      </c>
      <c r="P36" s="5"/>
    </row>
    <row r="37" spans="1:16" x14ac:dyDescent="0.2">
      <c r="A37" s="14">
        <v>9</v>
      </c>
      <c r="B37" s="399">
        <f>'Main Dimensions Calcs'!H15</f>
        <v>0</v>
      </c>
      <c r="C37" s="399">
        <f>'Main Dimensions Calcs'!I15</f>
        <v>0</v>
      </c>
      <c r="D37" s="399">
        <f>'Main Dimensions Calcs'!K15</f>
        <v>0</v>
      </c>
      <c r="E37" s="400">
        <f t="shared" si="7"/>
        <v>0</v>
      </c>
      <c r="F37" s="260">
        <f>F36-B36*C36*$B$21*PI()*$B$11/1000000</f>
        <v>37483.613497718383</v>
      </c>
      <c r="G37" s="401">
        <f t="shared" si="0"/>
        <v>1.7950000000000004E-2</v>
      </c>
      <c r="H37" s="5"/>
      <c r="I37" s="402">
        <v>9</v>
      </c>
      <c r="J37" s="430">
        <f t="shared" si="1"/>
        <v>0</v>
      </c>
      <c r="K37" s="403">
        <f t="shared" si="2"/>
        <v>0</v>
      </c>
      <c r="L37" s="403">
        <f t="shared" si="3"/>
        <v>0</v>
      </c>
      <c r="M37" s="405">
        <f t="shared" si="4"/>
        <v>0</v>
      </c>
      <c r="N37" s="406">
        <f t="shared" si="5"/>
        <v>82651.367762469032</v>
      </c>
      <c r="O37" s="407">
        <f t="shared" si="6"/>
        <v>2.6034680000000003</v>
      </c>
      <c r="P37" s="5"/>
    </row>
    <row r="38" spans="1:16" x14ac:dyDescent="0.2">
      <c r="A38" s="14"/>
      <c r="B38" s="399"/>
      <c r="C38" s="399"/>
      <c r="D38" s="399"/>
      <c r="E38" s="400"/>
      <c r="F38" s="260"/>
      <c r="G38" s="401"/>
      <c r="H38" s="5"/>
      <c r="I38" s="402"/>
      <c r="J38" s="435"/>
      <c r="K38" s="403"/>
      <c r="L38" s="403"/>
      <c r="M38" s="405"/>
      <c r="N38" s="406"/>
      <c r="O38" s="407"/>
      <c r="P38" s="5"/>
    </row>
    <row r="39" spans="1:1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13.5" customHeight="1" thickBo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17.25" customHeight="1" thickTop="1" thickBot="1" x14ac:dyDescent="0.3">
      <c r="A42" s="28"/>
      <c r="B42" s="4"/>
      <c r="C42" s="408"/>
      <c r="D42" s="934" t="str">
        <f>'Front Page'!$A$13</f>
        <v>Mechanical  Calculations</v>
      </c>
      <c r="E42" s="842"/>
      <c r="F42" s="842"/>
      <c r="G42" s="842"/>
      <c r="H42" s="859"/>
      <c r="I42" s="28"/>
      <c r="J42" s="4"/>
      <c r="K42" s="408"/>
      <c r="L42" s="934" t="str">
        <f>'Front Page'!$A$13</f>
        <v>Mechanical  Calculations</v>
      </c>
      <c r="M42" s="842"/>
      <c r="N42" s="842"/>
      <c r="O42" s="842"/>
      <c r="P42" s="859"/>
    </row>
    <row r="43" spans="1:16" ht="16.5" customHeight="1" thickBot="1" x14ac:dyDescent="0.3">
      <c r="A43" s="6"/>
      <c r="B43" s="5"/>
      <c r="C43" s="14"/>
      <c r="D43" s="984"/>
      <c r="E43" s="831"/>
      <c r="F43" s="831"/>
      <c r="G43" s="831"/>
      <c r="H43" s="854"/>
      <c r="I43" s="6"/>
      <c r="J43" s="5"/>
      <c r="K43" s="14"/>
      <c r="L43" s="984">
        <f>'Front Page'!$A$21</f>
        <v>0</v>
      </c>
      <c r="M43" s="831"/>
      <c r="N43" s="831"/>
      <c r="O43" s="831"/>
      <c r="P43" s="854"/>
    </row>
    <row r="44" spans="1:16" ht="16.5" customHeight="1" thickBot="1" x14ac:dyDescent="0.3">
      <c r="A44" s="8"/>
      <c r="B44" s="9"/>
      <c r="C44" s="409"/>
      <c r="D44" s="985" t="s">
        <v>1017</v>
      </c>
      <c r="E44" s="834"/>
      <c r="F44" s="834"/>
      <c r="G44" s="834"/>
      <c r="H44" s="986"/>
      <c r="I44" s="8"/>
      <c r="J44" s="9"/>
      <c r="K44" s="409"/>
      <c r="L44" s="985" t="s">
        <v>1018</v>
      </c>
      <c r="M44" s="834"/>
      <c r="N44" s="834"/>
      <c r="O44" s="834"/>
      <c r="P44" s="986"/>
    </row>
    <row r="45" spans="1:16" ht="16.5" customHeight="1" thickTop="1" thickBot="1" x14ac:dyDescent="0.3">
      <c r="A45" s="873"/>
      <c r="B45" s="848"/>
      <c r="C45" s="865"/>
      <c r="D45" s="130" t="str">
        <f>'Front Page'!$D$4</f>
        <v>Doc Nº</v>
      </c>
      <c r="E45" s="980"/>
      <c r="F45" s="843"/>
      <c r="G45" s="846"/>
      <c r="H45" s="832"/>
      <c r="I45" s="873"/>
      <c r="J45" s="848"/>
      <c r="K45" s="865"/>
      <c r="L45" s="130" t="str">
        <f>'Front Page'!$D$4</f>
        <v>Doc Nº</v>
      </c>
      <c r="M45" s="980"/>
      <c r="N45" s="843"/>
      <c r="O45" s="846"/>
      <c r="P45" s="832"/>
    </row>
    <row r="46" spans="1:16" ht="15.75" customHeight="1" thickBot="1" x14ac:dyDescent="0.3">
      <c r="A46" s="860"/>
      <c r="B46" s="851"/>
      <c r="C46" s="861"/>
      <c r="D46" s="133" t="str">
        <f>'Front Page'!$D$5</f>
        <v>Project</v>
      </c>
      <c r="E46" s="899"/>
      <c r="F46" s="835"/>
      <c r="G46" s="131" t="s">
        <v>5</v>
      </c>
      <c r="H46" s="132"/>
      <c r="I46" s="860"/>
      <c r="J46" s="851"/>
      <c r="K46" s="861"/>
      <c r="L46" s="133" t="str">
        <f>'Front Page'!$D$5</f>
        <v>Project</v>
      </c>
      <c r="M46" s="899"/>
      <c r="N46" s="835"/>
      <c r="O46" s="131" t="s">
        <v>5</v>
      </c>
      <c r="P46" s="427"/>
    </row>
    <row r="47" spans="1:16" ht="13.5" customHeight="1" thickTop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x14ac:dyDescent="0.2">
      <c r="A51" s="976" t="s">
        <v>1029</v>
      </c>
      <c r="B51" s="809"/>
      <c r="C51" s="809"/>
      <c r="D51" s="809"/>
      <c r="E51" s="809"/>
      <c r="F51" s="809"/>
      <c r="G51" s="809"/>
      <c r="H51" s="809"/>
      <c r="I51" s="976" t="s">
        <v>1029</v>
      </c>
      <c r="J51" s="809"/>
      <c r="K51" s="809"/>
      <c r="L51" s="809"/>
      <c r="M51" s="809"/>
      <c r="N51" s="809"/>
      <c r="O51" s="809"/>
      <c r="P51" s="809"/>
    </row>
    <row r="52" spans="1:16" ht="24.75" customHeight="1" x14ac:dyDescent="0.2">
      <c r="A52" s="809"/>
      <c r="B52" s="809"/>
      <c r="C52" s="809"/>
      <c r="D52" s="809"/>
      <c r="E52" s="809"/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</row>
    <row r="53" spans="1:16" ht="13.5" customHeight="1" x14ac:dyDescent="0.2">
      <c r="A53" s="809"/>
      <c r="B53" s="809"/>
      <c r="C53" s="809"/>
      <c r="D53" s="809"/>
      <c r="E53" s="809"/>
      <c r="F53" s="809"/>
      <c r="G53" s="809"/>
      <c r="H53" s="809"/>
      <c r="I53" s="809"/>
      <c r="J53" s="809"/>
      <c r="K53" s="809"/>
      <c r="L53" s="809"/>
      <c r="M53" s="809"/>
      <c r="N53" s="809"/>
      <c r="O53" s="809"/>
      <c r="P53" s="809"/>
    </row>
    <row r="54" spans="1:1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">
      <c r="A55" s="932" t="s">
        <v>928</v>
      </c>
      <c r="B55" s="5"/>
      <c r="C55" s="5"/>
      <c r="D55" s="932" t="s">
        <v>929</v>
      </c>
      <c r="E55" s="809"/>
      <c r="F55" s="5"/>
      <c r="G55" s="5"/>
      <c r="H55" s="5"/>
      <c r="I55" s="977" t="s">
        <v>928</v>
      </c>
      <c r="J55" s="979" t="s">
        <v>931</v>
      </c>
      <c r="K55" s="916"/>
      <c r="L55" s="977" t="s">
        <v>929</v>
      </c>
      <c r="M55" s="916"/>
      <c r="N55" s="979" t="s">
        <v>930</v>
      </c>
      <c r="O55" s="916"/>
      <c r="P55" s="5"/>
    </row>
    <row r="56" spans="1:16" x14ac:dyDescent="0.2">
      <c r="A56" s="809"/>
      <c r="B56" s="808" t="s">
        <v>931</v>
      </c>
      <c r="C56" s="809"/>
      <c r="D56" s="809"/>
      <c r="E56" s="809"/>
      <c r="F56" s="808" t="s">
        <v>930</v>
      </c>
      <c r="G56" s="809"/>
      <c r="H56" s="5"/>
      <c r="I56" s="906"/>
      <c r="J56" s="904"/>
      <c r="K56" s="917"/>
      <c r="L56" s="904"/>
      <c r="M56" s="917"/>
      <c r="N56" s="904"/>
      <c r="O56" s="917"/>
      <c r="P56" s="5"/>
    </row>
    <row r="57" spans="1:16" x14ac:dyDescent="0.2">
      <c r="A57" s="413" t="s">
        <v>253</v>
      </c>
      <c r="B57" s="14" t="s">
        <v>932</v>
      </c>
      <c r="C57" s="14" t="s">
        <v>933</v>
      </c>
      <c r="D57" s="14" t="s">
        <v>934</v>
      </c>
      <c r="E57" s="14" t="s">
        <v>935</v>
      </c>
      <c r="F57" s="14" t="s">
        <v>936</v>
      </c>
      <c r="G57" s="14" t="s">
        <v>937</v>
      </c>
      <c r="H57" s="5"/>
      <c r="I57" s="436" t="s">
        <v>253</v>
      </c>
      <c r="J57" s="402" t="s">
        <v>932</v>
      </c>
      <c r="K57" s="402" t="s">
        <v>933</v>
      </c>
      <c r="L57" s="402" t="s">
        <v>934</v>
      </c>
      <c r="M57" s="402" t="s">
        <v>935</v>
      </c>
      <c r="N57" s="140" t="s">
        <v>1030</v>
      </c>
      <c r="O57" s="140" t="s">
        <v>1031</v>
      </c>
      <c r="P57" s="5"/>
    </row>
    <row r="58" spans="1:16" x14ac:dyDescent="0.2">
      <c r="A58" s="5"/>
      <c r="B58" s="5" t="s">
        <v>940</v>
      </c>
      <c r="C58" s="5" t="s">
        <v>940</v>
      </c>
      <c r="D58" s="5" t="s">
        <v>247</v>
      </c>
      <c r="E58" s="5" t="s">
        <v>247</v>
      </c>
      <c r="F58" s="5" t="s">
        <v>941</v>
      </c>
      <c r="G58" s="5" t="s">
        <v>941</v>
      </c>
      <c r="H58" s="5"/>
      <c r="I58" s="289"/>
      <c r="J58" s="289" t="s">
        <v>940</v>
      </c>
      <c r="K58" s="289" t="s">
        <v>940</v>
      </c>
      <c r="L58" s="293" t="s">
        <v>248</v>
      </c>
      <c r="M58" s="293" t="s">
        <v>248</v>
      </c>
      <c r="N58" s="293" t="s">
        <v>926</v>
      </c>
      <c r="O58" s="293" t="s">
        <v>926</v>
      </c>
      <c r="P58" s="5"/>
    </row>
    <row r="59" spans="1:16" x14ac:dyDescent="0.2">
      <c r="A59" s="14">
        <v>1</v>
      </c>
      <c r="B59" s="14">
        <f t="shared" ref="B59:B67" si="8">$B$21/4*(G29*1000000+F29*9.8/($B$21^2*PI()/4))</f>
        <v>323038.8363705299</v>
      </c>
      <c r="C59" s="14">
        <f t="shared" ref="C59:C67" si="9">G29*$B$21*1000000/2</f>
        <v>623974</v>
      </c>
      <c r="D59" s="418">
        <f t="shared" ref="D59:D66" si="10">B59*1000/($B$17*1000000)/$B$19</f>
        <v>1.7353167713770981</v>
      </c>
      <c r="E59" s="418">
        <f t="shared" ref="E59:E66" si="11">C59*1000/($B$17*1000000)/$B$20</f>
        <v>3.351895887407407</v>
      </c>
      <c r="F59" s="418">
        <f t="shared" ref="F59:F67" si="12">B59/B29/$B$19/1000</f>
        <v>40.379854546316238</v>
      </c>
      <c r="G59" s="418">
        <f t="shared" ref="G59:G67" si="13">C59/B29/$B$20/1000</f>
        <v>77.996750000000006</v>
      </c>
      <c r="H59" s="5"/>
      <c r="I59" s="402">
        <v>1</v>
      </c>
      <c r="J59" s="402">
        <f t="shared" ref="J59:J67" si="14">B59</f>
        <v>323038.8363705299</v>
      </c>
      <c r="K59" s="402">
        <f t="shared" ref="K59:K67" si="15">C59</f>
        <v>623974</v>
      </c>
      <c r="L59" s="437">
        <f t="shared" ref="L59:L67" si="16">D59/25.4</f>
        <v>6.8319557928232216E-2</v>
      </c>
      <c r="M59" s="437">
        <f t="shared" ref="M59:M67" si="17">E59/25.4</f>
        <v>0.13196440501603965</v>
      </c>
      <c r="N59" s="419">
        <f t="shared" ref="N59:N67" si="18">F59*145.04</f>
        <v>5856.6941033977073</v>
      </c>
      <c r="O59" s="419">
        <f t="shared" ref="O59:O67" si="19">G59*145.04</f>
        <v>11312.64862</v>
      </c>
      <c r="P59" s="5"/>
    </row>
    <row r="60" spans="1:16" x14ac:dyDescent="0.2">
      <c r="A60" s="14">
        <v>2</v>
      </c>
      <c r="B60" s="14">
        <f t="shared" si="8"/>
        <v>220748.47477052989</v>
      </c>
      <c r="C60" s="14">
        <f t="shared" si="9"/>
        <v>422093.99999999994</v>
      </c>
      <c r="D60" s="418">
        <f t="shared" si="10"/>
        <v>1.1858281029895428</v>
      </c>
      <c r="E60" s="418">
        <f t="shared" si="11"/>
        <v>2.2674264355555551</v>
      </c>
      <c r="F60" s="418">
        <f t="shared" si="12"/>
        <v>27.593559346316237</v>
      </c>
      <c r="G60" s="418">
        <f t="shared" si="13"/>
        <v>52.761749999999992</v>
      </c>
      <c r="H60" s="5"/>
      <c r="I60" s="402">
        <v>2</v>
      </c>
      <c r="J60" s="402">
        <f t="shared" si="14"/>
        <v>220748.47477052989</v>
      </c>
      <c r="K60" s="402">
        <f t="shared" si="15"/>
        <v>422093.99999999994</v>
      </c>
      <c r="L60" s="437">
        <f t="shared" si="16"/>
        <v>4.6686145786989874E-2</v>
      </c>
      <c r="M60" s="437">
        <f t="shared" si="17"/>
        <v>8.9268757305336816E-2</v>
      </c>
      <c r="N60" s="419">
        <f t="shared" si="18"/>
        <v>4002.1698475897069</v>
      </c>
      <c r="O60" s="419">
        <f t="shared" si="19"/>
        <v>7652.5642199999984</v>
      </c>
      <c r="P60" s="5"/>
    </row>
    <row r="61" spans="1:16" x14ac:dyDescent="0.2">
      <c r="A61" s="14">
        <v>3</v>
      </c>
      <c r="B61" s="14">
        <f t="shared" si="8"/>
        <v>118362.15157052992</v>
      </c>
      <c r="C61" s="14">
        <f t="shared" si="9"/>
        <v>220214.00000000003</v>
      </c>
      <c r="D61" s="418">
        <f t="shared" si="10"/>
        <v>0.63582394310332069</v>
      </c>
      <c r="E61" s="418">
        <f t="shared" si="11"/>
        <v>1.1829569837037037</v>
      </c>
      <c r="F61" s="418">
        <f t="shared" si="12"/>
        <v>14.79526894631624</v>
      </c>
      <c r="G61" s="418">
        <f t="shared" si="13"/>
        <v>27.526750000000003</v>
      </c>
      <c r="H61" s="5"/>
      <c r="I61" s="402">
        <v>3</v>
      </c>
      <c r="J61" s="402">
        <f t="shared" si="14"/>
        <v>118362.15157052992</v>
      </c>
      <c r="K61" s="402">
        <f t="shared" si="15"/>
        <v>220214.00000000003</v>
      </c>
      <c r="L61" s="437">
        <f t="shared" si="16"/>
        <v>2.5032438704855147E-2</v>
      </c>
      <c r="M61" s="437">
        <f t="shared" si="17"/>
        <v>4.657310959463401E-2</v>
      </c>
      <c r="N61" s="419">
        <f t="shared" si="18"/>
        <v>2145.9058079737074</v>
      </c>
      <c r="O61" s="419">
        <f t="shared" si="19"/>
        <v>3992.4798200000005</v>
      </c>
      <c r="P61" s="5"/>
    </row>
    <row r="62" spans="1:16" x14ac:dyDescent="0.2">
      <c r="A62" s="14">
        <v>4</v>
      </c>
      <c r="B62" s="14">
        <f t="shared" si="8"/>
        <v>99251.32837052994</v>
      </c>
      <c r="C62" s="14">
        <f t="shared" si="9"/>
        <v>184885.00000000006</v>
      </c>
      <c r="D62" s="418">
        <f t="shared" si="10"/>
        <v>0.53316343210598738</v>
      </c>
      <c r="E62" s="418">
        <f t="shared" si="11"/>
        <v>0.99317482962962989</v>
      </c>
      <c r="F62" s="418">
        <f t="shared" si="12"/>
        <v>12.406416046316242</v>
      </c>
      <c r="G62" s="418">
        <f t="shared" si="13"/>
        <v>23.110625000000006</v>
      </c>
      <c r="H62" s="5"/>
      <c r="I62" s="402">
        <v>4</v>
      </c>
      <c r="J62" s="402">
        <f t="shared" si="14"/>
        <v>99251.32837052994</v>
      </c>
      <c r="K62" s="402">
        <f t="shared" si="15"/>
        <v>184885.00000000006</v>
      </c>
      <c r="L62" s="437">
        <f t="shared" si="16"/>
        <v>2.0990686303385332E-2</v>
      </c>
      <c r="M62" s="437">
        <f t="shared" si="17"/>
        <v>3.9101371245261023E-2</v>
      </c>
      <c r="N62" s="419">
        <f t="shared" si="18"/>
        <v>1799.4265833577076</v>
      </c>
      <c r="O62" s="419">
        <f t="shared" si="19"/>
        <v>3351.9650500000007</v>
      </c>
      <c r="P62" s="5"/>
    </row>
    <row r="63" spans="1:16" x14ac:dyDescent="0.2">
      <c r="A63" s="14">
        <v>5</v>
      </c>
      <c r="B63" s="14">
        <f t="shared" si="8"/>
        <v>98118.605170529932</v>
      </c>
      <c r="C63" s="14">
        <f t="shared" si="9"/>
        <v>184885.00000000006</v>
      </c>
      <c r="D63" s="418">
        <f t="shared" si="10"/>
        <v>0.52707861088643182</v>
      </c>
      <c r="E63" s="418">
        <f t="shared" si="11"/>
        <v>0.99317482962962989</v>
      </c>
      <c r="F63" s="418" t="e">
        <f t="shared" si="12"/>
        <v>#DIV/0!</v>
      </c>
      <c r="G63" s="418" t="e">
        <f t="shared" si="13"/>
        <v>#DIV/0!</v>
      </c>
      <c r="H63" s="5"/>
      <c r="I63" s="402">
        <v>5</v>
      </c>
      <c r="J63" s="402">
        <f t="shared" si="14"/>
        <v>98118.605170529932</v>
      </c>
      <c r="K63" s="402">
        <f t="shared" si="15"/>
        <v>184885.00000000006</v>
      </c>
      <c r="L63" s="437">
        <f t="shared" si="16"/>
        <v>2.0751126412851647E-2</v>
      </c>
      <c r="M63" s="437">
        <f t="shared" si="17"/>
        <v>3.9101371245261023E-2</v>
      </c>
      <c r="N63" s="419" t="e">
        <f t="shared" si="18"/>
        <v>#DIV/0!</v>
      </c>
      <c r="O63" s="419" t="e">
        <f t="shared" si="19"/>
        <v>#DIV/0!</v>
      </c>
      <c r="P63" s="5"/>
    </row>
    <row r="64" spans="1:16" x14ac:dyDescent="0.2">
      <c r="A64" s="14">
        <v>6</v>
      </c>
      <c r="B64" s="14">
        <f t="shared" si="8"/>
        <v>98118.605170529932</v>
      </c>
      <c r="C64" s="14">
        <f t="shared" si="9"/>
        <v>184885.00000000006</v>
      </c>
      <c r="D64" s="418">
        <f t="shared" si="10"/>
        <v>0.52707861088643182</v>
      </c>
      <c r="E64" s="418">
        <f t="shared" si="11"/>
        <v>0.99317482962962989</v>
      </c>
      <c r="F64" s="418" t="e">
        <f t="shared" si="12"/>
        <v>#DIV/0!</v>
      </c>
      <c r="G64" s="418" t="e">
        <f t="shared" si="13"/>
        <v>#DIV/0!</v>
      </c>
      <c r="H64" s="5"/>
      <c r="I64" s="402">
        <v>6</v>
      </c>
      <c r="J64" s="402">
        <f t="shared" si="14"/>
        <v>98118.605170529932</v>
      </c>
      <c r="K64" s="402">
        <f t="shared" si="15"/>
        <v>184885.00000000006</v>
      </c>
      <c r="L64" s="437">
        <f t="shared" si="16"/>
        <v>2.0751126412851647E-2</v>
      </c>
      <c r="M64" s="437">
        <f t="shared" si="17"/>
        <v>3.9101371245261023E-2</v>
      </c>
      <c r="N64" s="419" t="e">
        <f t="shared" si="18"/>
        <v>#DIV/0!</v>
      </c>
      <c r="O64" s="419" t="e">
        <f t="shared" si="19"/>
        <v>#DIV/0!</v>
      </c>
      <c r="P64" s="5"/>
    </row>
    <row r="65" spans="1:16" x14ac:dyDescent="0.2">
      <c r="A65" s="14">
        <v>7</v>
      </c>
      <c r="B65" s="14">
        <f t="shared" si="8"/>
        <v>98118.605170529932</v>
      </c>
      <c r="C65" s="14">
        <f t="shared" si="9"/>
        <v>184885.00000000006</v>
      </c>
      <c r="D65" s="418">
        <f t="shared" si="10"/>
        <v>0.52707861088643182</v>
      </c>
      <c r="E65" s="418">
        <f t="shared" si="11"/>
        <v>0.99317482962962989</v>
      </c>
      <c r="F65" s="418" t="e">
        <f t="shared" si="12"/>
        <v>#DIV/0!</v>
      </c>
      <c r="G65" s="418" t="e">
        <f t="shared" si="13"/>
        <v>#DIV/0!</v>
      </c>
      <c r="H65" s="5"/>
      <c r="I65" s="402">
        <v>7</v>
      </c>
      <c r="J65" s="402">
        <f t="shared" si="14"/>
        <v>98118.605170529932</v>
      </c>
      <c r="K65" s="402">
        <f t="shared" si="15"/>
        <v>184885.00000000006</v>
      </c>
      <c r="L65" s="437">
        <f t="shared" si="16"/>
        <v>2.0751126412851647E-2</v>
      </c>
      <c r="M65" s="437">
        <f t="shared" si="17"/>
        <v>3.9101371245261023E-2</v>
      </c>
      <c r="N65" s="419" t="e">
        <f t="shared" si="18"/>
        <v>#DIV/0!</v>
      </c>
      <c r="O65" s="419" t="e">
        <f t="shared" si="19"/>
        <v>#DIV/0!</v>
      </c>
      <c r="P65" s="5"/>
    </row>
    <row r="66" spans="1:16" ht="15" customHeight="1" x14ac:dyDescent="0.2">
      <c r="A66" s="14">
        <v>8</v>
      </c>
      <c r="B66" s="14">
        <f t="shared" si="8"/>
        <v>98118.605170529932</v>
      </c>
      <c r="C66" s="14">
        <f t="shared" si="9"/>
        <v>184885.00000000006</v>
      </c>
      <c r="D66" s="418">
        <f t="shared" si="10"/>
        <v>0.52707861088643182</v>
      </c>
      <c r="E66" s="418">
        <f t="shared" si="11"/>
        <v>0.99317482962962989</v>
      </c>
      <c r="F66" s="418" t="e">
        <f t="shared" si="12"/>
        <v>#DIV/0!</v>
      </c>
      <c r="G66" s="418" t="e">
        <f t="shared" si="13"/>
        <v>#DIV/0!</v>
      </c>
      <c r="H66" s="5"/>
      <c r="I66" s="402">
        <v>8</v>
      </c>
      <c r="J66" s="402">
        <f t="shared" si="14"/>
        <v>98118.605170529932</v>
      </c>
      <c r="K66" s="402">
        <f t="shared" si="15"/>
        <v>184885.00000000006</v>
      </c>
      <c r="L66" s="437">
        <f t="shared" si="16"/>
        <v>2.0751126412851647E-2</v>
      </c>
      <c r="M66" s="437">
        <f t="shared" si="17"/>
        <v>3.9101371245261023E-2</v>
      </c>
      <c r="N66" s="419" t="e">
        <f t="shared" si="18"/>
        <v>#DIV/0!</v>
      </c>
      <c r="O66" s="419" t="e">
        <f t="shared" si="19"/>
        <v>#DIV/0!</v>
      </c>
      <c r="P66" s="5"/>
    </row>
    <row r="67" spans="1:16" ht="14.25" customHeight="1" x14ac:dyDescent="0.2">
      <c r="A67" s="14">
        <v>9</v>
      </c>
      <c r="B67" s="14">
        <f t="shared" si="8"/>
        <v>98118.605170529932</v>
      </c>
      <c r="C67" s="14">
        <f t="shared" si="9"/>
        <v>184885.00000000006</v>
      </c>
      <c r="D67" s="418">
        <f>B67*1000/($B$17*1000000)</f>
        <v>0.52707861088643182</v>
      </c>
      <c r="E67" s="418">
        <f>C67*1000/($B$17*1000000)</f>
        <v>0.99317482962962989</v>
      </c>
      <c r="F67" s="418" t="e">
        <f t="shared" si="12"/>
        <v>#DIV/0!</v>
      </c>
      <c r="G67" s="418" t="e">
        <f t="shared" si="13"/>
        <v>#DIV/0!</v>
      </c>
      <c r="H67" s="5"/>
      <c r="I67" s="402">
        <v>9</v>
      </c>
      <c r="J67" s="402">
        <f t="shared" si="14"/>
        <v>98118.605170529932</v>
      </c>
      <c r="K67" s="402">
        <f t="shared" si="15"/>
        <v>184885.00000000006</v>
      </c>
      <c r="L67" s="437">
        <f t="shared" si="16"/>
        <v>2.0751126412851647E-2</v>
      </c>
      <c r="M67" s="437">
        <f t="shared" si="17"/>
        <v>3.9101371245261023E-2</v>
      </c>
      <c r="N67" s="419" t="e">
        <f t="shared" si="18"/>
        <v>#DIV/0!</v>
      </c>
      <c r="O67" s="419" t="e">
        <f t="shared" si="19"/>
        <v>#DIV/0!</v>
      </c>
      <c r="P67" s="5"/>
    </row>
    <row r="68" spans="1:16" x14ac:dyDescent="0.2">
      <c r="A68" s="14">
        <v>10</v>
      </c>
      <c r="B68" s="14"/>
      <c r="C68" s="14"/>
      <c r="D68" s="418"/>
      <c r="E68" s="418"/>
      <c r="F68" s="418"/>
      <c r="G68" s="418"/>
      <c r="H68" s="5"/>
      <c r="I68" s="402">
        <v>10</v>
      </c>
      <c r="J68" s="402"/>
      <c r="K68" s="402"/>
      <c r="L68" s="437"/>
      <c r="M68" s="437"/>
      <c r="N68" s="419"/>
      <c r="O68" s="419"/>
      <c r="P68" s="5"/>
    </row>
    <row r="69" spans="1:1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8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8" customHeight="1" x14ac:dyDescent="0.25">
      <c r="A72" s="420" t="s">
        <v>942</v>
      </c>
      <c r="B72" s="5"/>
      <c r="C72" s="5"/>
      <c r="D72" s="5"/>
      <c r="E72" s="5"/>
      <c r="F72" s="5"/>
      <c r="G72" s="5"/>
      <c r="H72" s="5"/>
      <c r="I72" s="420" t="s">
        <v>942</v>
      </c>
      <c r="J72" s="5"/>
      <c r="K72" s="5"/>
      <c r="L72" s="5"/>
      <c r="M72" s="5"/>
      <c r="N72" s="5"/>
      <c r="O72" s="5"/>
      <c r="P72" s="5"/>
    </row>
    <row r="73" spans="1:16" ht="12.75" customHeight="1" x14ac:dyDescent="0.25">
      <c r="A73" s="420"/>
      <c r="B73" s="5"/>
      <c r="C73" s="5"/>
      <c r="D73" s="5"/>
      <c r="E73" s="5"/>
      <c r="F73" s="5"/>
      <c r="G73" s="5"/>
      <c r="H73" s="5"/>
      <c r="I73" s="420"/>
      <c r="J73" s="5"/>
      <c r="K73" s="5"/>
      <c r="L73" s="5"/>
      <c r="M73" s="5"/>
      <c r="N73" s="5"/>
      <c r="O73" s="5"/>
      <c r="P73" s="5"/>
    </row>
    <row r="74" spans="1:16" ht="25.5" customHeight="1" x14ac:dyDescent="0.2">
      <c r="A74" s="5"/>
      <c r="B74" s="111" t="s">
        <v>256</v>
      </c>
      <c r="C74" s="5"/>
      <c r="D74" s="5"/>
      <c r="E74" s="5"/>
      <c r="F74" s="5"/>
      <c r="G74" s="5"/>
      <c r="H74" s="5"/>
      <c r="I74" s="5"/>
      <c r="J74" s="111" t="s">
        <v>256</v>
      </c>
      <c r="K74" s="5"/>
      <c r="L74" s="5"/>
      <c r="M74" s="5"/>
      <c r="N74" s="5"/>
      <c r="O74" s="5"/>
      <c r="P74" s="5"/>
    </row>
    <row r="75" spans="1:16" x14ac:dyDescent="0.2">
      <c r="A75" s="5"/>
      <c r="B75" s="218" t="s">
        <v>253</v>
      </c>
      <c r="C75" s="14" t="s">
        <v>946</v>
      </c>
      <c r="D75" s="5"/>
      <c r="E75" s="5"/>
      <c r="F75" s="5"/>
      <c r="G75" s="5"/>
      <c r="H75" s="5"/>
      <c r="I75" s="5"/>
      <c r="J75" s="218" t="s">
        <v>253</v>
      </c>
      <c r="K75" s="14" t="s">
        <v>946</v>
      </c>
      <c r="L75" s="5"/>
      <c r="M75" s="5"/>
      <c r="N75" s="5"/>
      <c r="O75" s="5"/>
      <c r="P75" s="5"/>
    </row>
    <row r="76" spans="1:16" x14ac:dyDescent="0.2">
      <c r="A76" s="5"/>
      <c r="B76" s="14">
        <v>1</v>
      </c>
      <c r="C76" s="417">
        <f t="shared" ref="C76:C84" si="20">B29/MAX(D59,E59)</f>
        <v>2.3867089756739923</v>
      </c>
      <c r="D76" s="264" t="str">
        <f t="shared" ref="D76:D84" si="21">IF(B29&gt;0,IF(C76&gt;1,"OK","ERROR"),"N/A")</f>
        <v>OK</v>
      </c>
      <c r="E76" s="5"/>
      <c r="F76" s="5"/>
      <c r="G76" s="5"/>
      <c r="H76" s="5"/>
      <c r="I76" s="5"/>
      <c r="J76" s="14">
        <v>1</v>
      </c>
      <c r="K76" s="417">
        <f t="shared" ref="K76:K84" si="22">C76</f>
        <v>2.3867089756739923</v>
      </c>
      <c r="L76" s="438" t="str">
        <f t="shared" ref="L76:L84" si="23">D76</f>
        <v>OK</v>
      </c>
      <c r="M76" s="5"/>
      <c r="N76" s="5"/>
      <c r="O76" s="5"/>
      <c r="P76" s="5"/>
    </row>
    <row r="77" spans="1:16" x14ac:dyDescent="0.2">
      <c r="A77" s="5"/>
      <c r="B77" s="14">
        <v>2</v>
      </c>
      <c r="C77" s="417">
        <f t="shared" si="20"/>
        <v>3.528229129973901</v>
      </c>
      <c r="D77" s="264" t="str">
        <f t="shared" si="21"/>
        <v>OK</v>
      </c>
      <c r="E77" s="5"/>
      <c r="F77" s="5"/>
      <c r="G77" s="5"/>
      <c r="H77" s="5"/>
      <c r="I77" s="5"/>
      <c r="J77" s="14">
        <v>2</v>
      </c>
      <c r="K77" s="417">
        <f t="shared" si="22"/>
        <v>3.528229129973901</v>
      </c>
      <c r="L77" s="438" t="str">
        <f t="shared" si="23"/>
        <v>OK</v>
      </c>
      <c r="M77" s="5"/>
      <c r="N77" s="5"/>
      <c r="O77" s="5"/>
      <c r="P77" s="5"/>
    </row>
    <row r="78" spans="1:16" x14ac:dyDescent="0.2">
      <c r="A78" s="5"/>
      <c r="B78" s="14">
        <v>3</v>
      </c>
      <c r="C78" s="417">
        <f t="shared" si="20"/>
        <v>6.7627142070313582</v>
      </c>
      <c r="D78" s="264" t="str">
        <f t="shared" si="21"/>
        <v>OK</v>
      </c>
      <c r="E78" s="5"/>
      <c r="F78" s="5"/>
      <c r="G78" s="5"/>
      <c r="H78" s="5"/>
      <c r="I78" s="5"/>
      <c r="J78" s="14">
        <v>3</v>
      </c>
      <c r="K78" s="417">
        <f t="shared" si="22"/>
        <v>6.7627142070313582</v>
      </c>
      <c r="L78" s="438" t="str">
        <f t="shared" si="23"/>
        <v>OK</v>
      </c>
      <c r="M78" s="5"/>
      <c r="N78" s="5"/>
      <c r="O78" s="5"/>
      <c r="P78" s="5"/>
    </row>
    <row r="79" spans="1:16" x14ac:dyDescent="0.2">
      <c r="A79" s="5"/>
      <c r="B79" s="14">
        <v>4</v>
      </c>
      <c r="C79" s="417">
        <f t="shared" si="20"/>
        <v>8.0549765875392989</v>
      </c>
      <c r="D79" s="264" t="str">
        <f t="shared" si="21"/>
        <v>OK</v>
      </c>
      <c r="E79" s="5"/>
      <c r="F79" s="5"/>
      <c r="G79" s="5"/>
      <c r="H79" s="5"/>
      <c r="I79" s="5"/>
      <c r="J79" s="14">
        <v>4</v>
      </c>
      <c r="K79" s="417">
        <f t="shared" si="22"/>
        <v>8.0549765875392989</v>
      </c>
      <c r="L79" s="438" t="str">
        <f t="shared" si="23"/>
        <v>OK</v>
      </c>
      <c r="M79" s="5"/>
      <c r="N79" s="5"/>
      <c r="O79" s="5"/>
      <c r="P79" s="5"/>
    </row>
    <row r="80" spans="1:16" x14ac:dyDescent="0.2">
      <c r="A80" s="5"/>
      <c r="B80" s="14">
        <v>5</v>
      </c>
      <c r="C80" s="417">
        <f t="shared" si="20"/>
        <v>0</v>
      </c>
      <c r="D80" s="264" t="str">
        <f t="shared" si="21"/>
        <v>N/A</v>
      </c>
      <c r="E80" s="5"/>
      <c r="F80" s="5"/>
      <c r="G80" s="5"/>
      <c r="H80" s="5"/>
      <c r="I80" s="5"/>
      <c r="J80" s="14">
        <v>5</v>
      </c>
      <c r="K80" s="417">
        <f t="shared" si="22"/>
        <v>0</v>
      </c>
      <c r="L80" s="438" t="str">
        <f t="shared" si="23"/>
        <v>N/A</v>
      </c>
      <c r="M80" s="5"/>
      <c r="N80" s="5"/>
      <c r="O80" s="5"/>
      <c r="P80" s="5"/>
    </row>
    <row r="81" spans="1:16" x14ac:dyDescent="0.2">
      <c r="A81" s="5"/>
      <c r="B81" s="14">
        <v>6</v>
      </c>
      <c r="C81" s="417">
        <f t="shared" si="20"/>
        <v>0</v>
      </c>
      <c r="D81" s="264" t="str">
        <f t="shared" si="21"/>
        <v>N/A</v>
      </c>
      <c r="E81" s="5"/>
      <c r="F81" s="5"/>
      <c r="G81" s="5"/>
      <c r="H81" s="5"/>
      <c r="I81" s="5"/>
      <c r="J81" s="14">
        <v>6</v>
      </c>
      <c r="K81" s="417">
        <f t="shared" si="22"/>
        <v>0</v>
      </c>
      <c r="L81" s="438" t="str">
        <f t="shared" si="23"/>
        <v>N/A</v>
      </c>
      <c r="M81" s="5"/>
      <c r="N81" s="5"/>
      <c r="O81" s="5"/>
      <c r="P81" s="5"/>
    </row>
    <row r="82" spans="1:16" x14ac:dyDescent="0.2">
      <c r="A82" s="5"/>
      <c r="B82" s="14">
        <v>7</v>
      </c>
      <c r="C82" s="417">
        <f t="shared" si="20"/>
        <v>0</v>
      </c>
      <c r="D82" s="264" t="str">
        <f t="shared" si="21"/>
        <v>N/A</v>
      </c>
      <c r="E82" s="5"/>
      <c r="F82" s="5"/>
      <c r="G82" s="5"/>
      <c r="H82" s="5"/>
      <c r="I82" s="5"/>
      <c r="J82" s="14">
        <v>7</v>
      </c>
      <c r="K82" s="417">
        <f t="shared" si="22"/>
        <v>0</v>
      </c>
      <c r="L82" s="438" t="str">
        <f t="shared" si="23"/>
        <v>N/A</v>
      </c>
      <c r="M82" s="5"/>
      <c r="N82" s="5"/>
      <c r="O82" s="5"/>
      <c r="P82" s="5"/>
    </row>
    <row r="83" spans="1:16" x14ac:dyDescent="0.2">
      <c r="A83" s="5"/>
      <c r="B83" s="14">
        <v>8</v>
      </c>
      <c r="C83" s="417">
        <f t="shared" si="20"/>
        <v>0</v>
      </c>
      <c r="D83" s="264" t="str">
        <f t="shared" si="21"/>
        <v>N/A</v>
      </c>
      <c r="E83" s="5"/>
      <c r="F83" s="5"/>
      <c r="G83" s="5"/>
      <c r="H83" s="5"/>
      <c r="I83" s="5"/>
      <c r="J83" s="14">
        <v>8</v>
      </c>
      <c r="K83" s="417">
        <f t="shared" si="22"/>
        <v>0</v>
      </c>
      <c r="L83" s="438" t="str">
        <f t="shared" si="23"/>
        <v>N/A</v>
      </c>
      <c r="M83" s="5"/>
      <c r="N83" s="5"/>
      <c r="O83" s="5"/>
      <c r="P83" s="5"/>
    </row>
    <row r="84" spans="1:16" x14ac:dyDescent="0.2">
      <c r="A84" s="5"/>
      <c r="B84" s="14">
        <v>9</v>
      </c>
      <c r="C84" s="417">
        <f t="shared" si="20"/>
        <v>0</v>
      </c>
      <c r="D84" s="264" t="str">
        <f t="shared" si="21"/>
        <v>N/A</v>
      </c>
      <c r="E84" s="5"/>
      <c r="F84" s="5"/>
      <c r="G84" s="5"/>
      <c r="H84" s="5"/>
      <c r="I84" s="5"/>
      <c r="J84" s="14">
        <v>9</v>
      </c>
      <c r="K84" s="417">
        <f t="shared" si="22"/>
        <v>0</v>
      </c>
      <c r="L84" s="438" t="str">
        <f t="shared" si="23"/>
        <v>N/A</v>
      </c>
      <c r="M84" s="5"/>
      <c r="N84" s="5"/>
      <c r="O84" s="5"/>
      <c r="P84" s="5"/>
    </row>
    <row r="85" spans="1:16" x14ac:dyDescent="0.2">
      <c r="A85" s="5"/>
      <c r="B85" s="14"/>
      <c r="C85" s="417"/>
      <c r="D85" s="5"/>
      <c r="E85" s="5"/>
      <c r="F85" s="5"/>
      <c r="G85" s="5"/>
      <c r="H85" s="5"/>
      <c r="I85" s="5"/>
      <c r="J85" s="14"/>
      <c r="K85" s="417"/>
      <c r="L85" s="5"/>
      <c r="M85" s="5"/>
      <c r="N85" s="5"/>
      <c r="O85" s="5"/>
      <c r="P85" s="5"/>
    </row>
  </sheetData>
  <mergeCells count="52">
    <mergeCell ref="E5:F5"/>
    <mergeCell ref="C9:H10"/>
    <mergeCell ref="A5:C5"/>
    <mergeCell ref="D43:H43"/>
    <mergeCell ref="C17:H17"/>
    <mergeCell ref="C19:H19"/>
    <mergeCell ref="C20:H20"/>
    <mergeCell ref="D42:H42"/>
    <mergeCell ref="D1:H1"/>
    <mergeCell ref="D2:H2"/>
    <mergeCell ref="A4:C4"/>
    <mergeCell ref="G4:H4"/>
    <mergeCell ref="D3:H3"/>
    <mergeCell ref="E4:F4"/>
    <mergeCell ref="D44:H44"/>
    <mergeCell ref="E45:F45"/>
    <mergeCell ref="A24:H24"/>
    <mergeCell ref="A55:A56"/>
    <mergeCell ref="D55:E56"/>
    <mergeCell ref="B56:C56"/>
    <mergeCell ref="F56:G56"/>
    <mergeCell ref="G45:H45"/>
    <mergeCell ref="A51:H53"/>
    <mergeCell ref="A46:C46"/>
    <mergeCell ref="E46:F46"/>
    <mergeCell ref="A45:C45"/>
    <mergeCell ref="L1:P1"/>
    <mergeCell ref="L2:P2"/>
    <mergeCell ref="L3:P3"/>
    <mergeCell ref="I4:K4"/>
    <mergeCell ref="M4:N4"/>
    <mergeCell ref="O4:P4"/>
    <mergeCell ref="I5:K5"/>
    <mergeCell ref="M5:N5"/>
    <mergeCell ref="K9:P10"/>
    <mergeCell ref="K17:P17"/>
    <mergeCell ref="K19:P19"/>
    <mergeCell ref="K20:P20"/>
    <mergeCell ref="I24:P24"/>
    <mergeCell ref="L42:P42"/>
    <mergeCell ref="L43:P43"/>
    <mergeCell ref="L44:P44"/>
    <mergeCell ref="I45:K45"/>
    <mergeCell ref="M45:N45"/>
    <mergeCell ref="O45:P45"/>
    <mergeCell ref="I46:K46"/>
    <mergeCell ref="M46:N46"/>
    <mergeCell ref="I51:P53"/>
    <mergeCell ref="I55:I56"/>
    <mergeCell ref="L55:M56"/>
    <mergeCell ref="N55:O56"/>
    <mergeCell ref="J55:K56"/>
  </mergeCells>
  <pageMargins left="0.74803149606299213" right="0.74803149606299213" top="0.98425196850393704" bottom="0.98425196850393704" header="0" footer="0"/>
  <pageSetup paperSize="9" scale="98" fitToHeight="0" orientation="portrait"/>
  <rowBreaks count="1" manualBreakCount="1">
    <brk id="41" min="8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T86"/>
  <sheetViews>
    <sheetView workbookViewId="0">
      <selection activeCell="Q28" sqref="Q28"/>
    </sheetView>
    <sheetView tabSelected="1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8.42578125" customWidth="1"/>
    <col min="10" max="10" width="10.85546875" customWidth="1"/>
    <col min="15" max="15" width="13.140625" customWidth="1"/>
    <col min="18" max="18" width="8.140625" customWidth="1"/>
  </cols>
  <sheetData>
    <row r="1" spans="1:20" ht="17.25" customHeight="1" thickTop="1" thickBot="1" x14ac:dyDescent="0.3">
      <c r="A1" s="28"/>
      <c r="B1" s="4"/>
      <c r="C1" s="408"/>
      <c r="D1" s="934" t="str">
        <f>'Front Page'!$A$13</f>
        <v>Mechanical  Calculations</v>
      </c>
      <c r="E1" s="842"/>
      <c r="F1" s="842"/>
      <c r="G1" s="842"/>
      <c r="H1" s="859"/>
      <c r="I1" s="28"/>
      <c r="J1" s="4"/>
      <c r="K1" s="408"/>
      <c r="L1" s="934" t="str">
        <f>'Front Page'!$A$13</f>
        <v>Mechanical  Calculations</v>
      </c>
      <c r="M1" s="842"/>
      <c r="N1" s="842"/>
      <c r="O1" s="842"/>
      <c r="P1" s="859"/>
      <c r="Q1" s="5"/>
      <c r="R1" s="5"/>
      <c r="S1" s="5"/>
      <c r="T1" s="5"/>
    </row>
    <row r="2" spans="1:20" ht="16.5" customHeight="1" thickBot="1" x14ac:dyDescent="0.3">
      <c r="A2" s="6"/>
      <c r="B2" s="5"/>
      <c r="C2" s="14"/>
      <c r="D2" s="984"/>
      <c r="E2" s="831"/>
      <c r="F2" s="831"/>
      <c r="G2" s="831"/>
      <c r="H2" s="854"/>
      <c r="I2" s="6"/>
      <c r="J2" s="5"/>
      <c r="K2" s="14"/>
      <c r="L2" s="984">
        <f>'Front Page'!$A$21</f>
        <v>0</v>
      </c>
      <c r="M2" s="831"/>
      <c r="N2" s="831"/>
      <c r="O2" s="831"/>
      <c r="P2" s="854"/>
      <c r="Q2" s="5"/>
      <c r="R2" s="5"/>
      <c r="S2" s="5"/>
      <c r="T2" s="5"/>
    </row>
    <row r="3" spans="1:20" ht="16.5" customHeight="1" thickBot="1" x14ac:dyDescent="0.3">
      <c r="A3" s="6"/>
      <c r="B3" s="5"/>
      <c r="C3" s="14"/>
      <c r="D3" s="991" t="s">
        <v>1032</v>
      </c>
      <c r="E3" s="848"/>
      <c r="F3" s="848"/>
      <c r="G3" s="848"/>
      <c r="H3" s="849"/>
      <c r="I3" s="6"/>
      <c r="J3" s="5"/>
      <c r="K3" s="14"/>
      <c r="L3" s="991" t="s">
        <v>1033</v>
      </c>
      <c r="M3" s="848"/>
      <c r="N3" s="848"/>
      <c r="O3" s="848"/>
      <c r="P3" s="849"/>
      <c r="Q3" s="5"/>
      <c r="R3" s="5"/>
      <c r="S3" s="5"/>
      <c r="T3" s="5"/>
    </row>
    <row r="4" spans="1:20" ht="16.5" customHeight="1" thickTop="1" thickBot="1" x14ac:dyDescent="0.3">
      <c r="A4" s="830"/>
      <c r="B4" s="831"/>
      <c r="C4" s="832"/>
      <c r="D4" s="130" t="str">
        <f>'Front Page'!$D$4</f>
        <v>Doc Nº</v>
      </c>
      <c r="E4" s="980"/>
      <c r="F4" s="843"/>
      <c r="G4" s="846"/>
      <c r="H4" s="832"/>
      <c r="I4" s="830"/>
      <c r="J4" s="831"/>
      <c r="K4" s="832"/>
      <c r="L4" s="130" t="str">
        <f>'Front Page'!$D$4</f>
        <v>Doc Nº</v>
      </c>
      <c r="M4" s="980"/>
      <c r="N4" s="843"/>
      <c r="O4" s="846"/>
      <c r="P4" s="832"/>
      <c r="Q4" s="5"/>
      <c r="R4" s="5"/>
      <c r="S4" s="5"/>
      <c r="T4" s="5"/>
    </row>
    <row r="5" spans="1:20" ht="15.75" customHeight="1" thickBot="1" x14ac:dyDescent="0.3">
      <c r="A5" s="987"/>
      <c r="B5" s="834"/>
      <c r="C5" s="835"/>
      <c r="D5" s="133" t="str">
        <f>'Front Page'!$D$5</f>
        <v>Project</v>
      </c>
      <c r="E5" s="899"/>
      <c r="F5" s="835"/>
      <c r="G5" s="131" t="s">
        <v>5</v>
      </c>
      <c r="H5" s="132"/>
      <c r="I5" s="987"/>
      <c r="J5" s="834"/>
      <c r="K5" s="835"/>
      <c r="L5" s="133" t="str">
        <f>'Front Page'!$D$5</f>
        <v>Project</v>
      </c>
      <c r="M5" s="899"/>
      <c r="N5" s="835"/>
      <c r="O5" s="131" t="s">
        <v>5</v>
      </c>
      <c r="P5" s="427"/>
      <c r="Q5" s="5"/>
      <c r="R5" s="5"/>
      <c r="S5" s="5"/>
      <c r="T5" s="5"/>
    </row>
    <row r="6" spans="1:20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  <c r="S6" s="5"/>
      <c r="T6" s="5"/>
    </row>
    <row r="7" spans="1:20" ht="18" customHeight="1" x14ac:dyDescent="0.25">
      <c r="A7" s="134" t="s">
        <v>883</v>
      </c>
      <c r="B7" s="5"/>
      <c r="C7" s="5"/>
      <c r="D7" s="5"/>
      <c r="E7" s="65"/>
      <c r="F7" s="65"/>
      <c r="G7" s="142"/>
      <c r="H7" s="117"/>
      <c r="I7" s="134" t="s">
        <v>1034</v>
      </c>
      <c r="J7" s="5"/>
      <c r="K7" s="5"/>
      <c r="L7" s="5"/>
      <c r="M7" s="65"/>
      <c r="N7" s="65"/>
      <c r="O7" s="142"/>
      <c r="P7" s="117"/>
      <c r="Q7" s="5"/>
      <c r="R7" s="5"/>
      <c r="S7" s="5"/>
      <c r="T7" s="5"/>
    </row>
    <row r="8" spans="1:20" ht="12" customHeight="1" x14ac:dyDescent="0.2">
      <c r="A8" s="118"/>
      <c r="B8" s="5"/>
      <c r="C8" s="5"/>
      <c r="D8" s="5"/>
      <c r="E8" s="65"/>
      <c r="F8" s="65"/>
      <c r="G8" s="142"/>
      <c r="H8" s="117"/>
      <c r="I8" s="118"/>
      <c r="J8" s="5"/>
      <c r="K8" s="5"/>
      <c r="L8" s="5"/>
      <c r="M8" s="65"/>
      <c r="N8" s="65"/>
      <c r="O8" s="142"/>
      <c r="P8" s="117"/>
      <c r="Q8" s="5"/>
      <c r="R8" s="5"/>
      <c r="S8" s="5"/>
      <c r="T8" s="5"/>
    </row>
    <row r="9" spans="1:20" ht="12.75" customHeight="1" x14ac:dyDescent="0.2">
      <c r="A9" s="5" t="s">
        <v>197</v>
      </c>
      <c r="B9" s="387">
        <f>'Weight Calculations'!H71+'Thermal calculation 2'!K82</f>
        <v>80084.941287362512</v>
      </c>
      <c r="C9" s="901" t="s">
        <v>884</v>
      </c>
      <c r="D9" s="809"/>
      <c r="E9" s="809"/>
      <c r="F9" s="809"/>
      <c r="G9" s="809"/>
      <c r="H9" s="809"/>
      <c r="I9" s="5" t="s">
        <v>197</v>
      </c>
      <c r="J9" s="387">
        <f>B9*2.205</f>
        <v>176587.29553863435</v>
      </c>
      <c r="K9" s="901" t="s">
        <v>885</v>
      </c>
      <c r="L9" s="809"/>
      <c r="M9" s="809"/>
      <c r="N9" s="809"/>
      <c r="O9" s="809"/>
      <c r="P9" s="809"/>
      <c r="Q9" s="5"/>
      <c r="R9" s="5"/>
      <c r="S9" s="5"/>
      <c r="T9" s="5"/>
    </row>
    <row r="10" spans="1:20" ht="15" customHeight="1" x14ac:dyDescent="0.2">
      <c r="A10" s="5"/>
      <c r="B10" s="5"/>
      <c r="C10" s="809"/>
      <c r="D10" s="809"/>
      <c r="E10" s="809"/>
      <c r="F10" s="809"/>
      <c r="G10" s="809"/>
      <c r="H10" s="809"/>
      <c r="I10" s="5"/>
      <c r="J10" s="5"/>
      <c r="K10" s="809"/>
      <c r="L10" s="809"/>
      <c r="M10" s="809"/>
      <c r="N10" s="809"/>
      <c r="O10" s="809"/>
      <c r="P10" s="809"/>
      <c r="Q10" s="5"/>
      <c r="R10" s="5"/>
      <c r="S10" s="5"/>
      <c r="T10" s="5"/>
    </row>
    <row r="11" spans="1:20" x14ac:dyDescent="0.2">
      <c r="A11" s="5" t="s">
        <v>886</v>
      </c>
      <c r="B11" s="389">
        <f>'Main Dimensions Calcs'!D18</f>
        <v>8000</v>
      </c>
      <c r="C11" s="64" t="s">
        <v>887</v>
      </c>
      <c r="D11" s="5"/>
      <c r="E11" s="65"/>
      <c r="F11" s="65"/>
      <c r="G11" s="142"/>
      <c r="H11" s="117"/>
      <c r="I11" s="5" t="s">
        <v>886</v>
      </c>
      <c r="J11" s="389">
        <f>B11*0.062428</f>
        <v>499.42399999999998</v>
      </c>
      <c r="K11" s="64" t="s">
        <v>888</v>
      </c>
      <c r="L11" s="5"/>
      <c r="M11" s="65"/>
      <c r="N11" s="65"/>
      <c r="O11" s="142"/>
      <c r="P11" s="117"/>
      <c r="Q11" s="5"/>
      <c r="R11" s="5"/>
      <c r="S11" s="5"/>
      <c r="T11" s="5"/>
    </row>
    <row r="12" spans="1:20" x14ac:dyDescent="0.2">
      <c r="A12" s="5"/>
      <c r="B12" s="5"/>
      <c r="C12" s="5"/>
      <c r="D12" s="5"/>
      <c r="E12" s="65"/>
      <c r="F12" s="65"/>
      <c r="G12" s="142"/>
      <c r="H12" s="117"/>
      <c r="I12" s="5"/>
      <c r="J12" s="5"/>
      <c r="K12" s="5"/>
      <c r="L12" s="5"/>
      <c r="M12" s="65"/>
      <c r="N12" s="65"/>
      <c r="O12" s="142"/>
      <c r="P12" s="117"/>
      <c r="Q12" s="5"/>
      <c r="R12" s="5"/>
      <c r="S12" s="5"/>
      <c r="T12" s="5"/>
    </row>
    <row r="13" spans="1:20" x14ac:dyDescent="0.2">
      <c r="A13" s="5" t="s">
        <v>889</v>
      </c>
      <c r="B13" s="389">
        <f>'Main Dimensions Calcs'!D11</f>
        <v>808</v>
      </c>
      <c r="C13" s="64" t="s">
        <v>1035</v>
      </c>
      <c r="D13" s="5"/>
      <c r="E13" s="65"/>
      <c r="F13" s="65"/>
      <c r="G13" s="142"/>
      <c r="H13" s="117"/>
      <c r="I13" s="5" t="s">
        <v>889</v>
      </c>
      <c r="J13" s="389">
        <f>B13*0.062428</f>
        <v>50.441823999999997</v>
      </c>
      <c r="K13" s="64" t="s">
        <v>1036</v>
      </c>
      <c r="L13" s="5"/>
      <c r="M13" s="65"/>
      <c r="N13" s="65"/>
      <c r="O13" s="142"/>
      <c r="P13" s="117"/>
      <c r="Q13" s="5"/>
      <c r="R13" s="5"/>
      <c r="S13" s="5"/>
      <c r="T13" s="5"/>
    </row>
    <row r="14" spans="1:20" ht="17.25" customHeight="1" x14ac:dyDescent="0.2">
      <c r="A14" s="5" t="s">
        <v>892</v>
      </c>
      <c r="B14" s="389">
        <f>'Design Conditions'!G13</f>
        <v>0.15</v>
      </c>
      <c r="C14" s="64" t="s">
        <v>893</v>
      </c>
      <c r="D14" s="5"/>
      <c r="E14" s="5"/>
      <c r="F14" s="5"/>
      <c r="G14" s="5"/>
      <c r="H14" s="5"/>
      <c r="I14" s="5" t="s">
        <v>892</v>
      </c>
      <c r="J14" s="389">
        <f>B14*14.5</f>
        <v>2.1749999999999998</v>
      </c>
      <c r="K14" s="64" t="s">
        <v>894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">
      <c r="A15" s="5" t="s">
        <v>895</v>
      </c>
      <c r="B15" s="333">
        <f>'Design Conditions'!G16</f>
        <v>8.0000000000000002E-3</v>
      </c>
      <c r="C15" s="64" t="s">
        <v>896</v>
      </c>
      <c r="D15" s="5"/>
      <c r="E15" s="5"/>
      <c r="F15" s="5"/>
      <c r="G15" s="5"/>
      <c r="H15" s="5"/>
      <c r="I15" s="5" t="s">
        <v>895</v>
      </c>
      <c r="J15" s="439">
        <f>B15*14.5</f>
        <v>0.11600000000000001</v>
      </c>
      <c r="K15" s="64" t="s">
        <v>897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ht="17.2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2.75" customHeight="1" x14ac:dyDescent="0.2">
      <c r="A17" s="5" t="s">
        <v>898</v>
      </c>
      <c r="B17" s="389">
        <f>'IV Shell Thickness Test'!B17</f>
        <v>186.15554329840046</v>
      </c>
      <c r="C17" s="901" t="s">
        <v>1037</v>
      </c>
      <c r="D17" s="809"/>
      <c r="E17" s="809"/>
      <c r="F17" s="809"/>
      <c r="G17" s="809"/>
      <c r="H17" s="809"/>
      <c r="I17" s="5" t="s">
        <v>898</v>
      </c>
      <c r="J17" s="389">
        <f>B17*145.04</f>
        <v>27000</v>
      </c>
      <c r="K17" s="901" t="s">
        <v>900</v>
      </c>
      <c r="L17" s="809"/>
      <c r="M17" s="809"/>
      <c r="N17" s="809"/>
      <c r="O17" s="809"/>
      <c r="P17" s="809"/>
      <c r="Q17" s="5"/>
      <c r="R17" s="5"/>
      <c r="S17" s="5"/>
      <c r="T17" s="5"/>
    </row>
    <row r="18" spans="1:20" x14ac:dyDescent="0.2">
      <c r="A18" s="5" t="s">
        <v>901</v>
      </c>
      <c r="B18" s="389">
        <f>'Allowable Stresses'!E31</f>
        <v>517.09873138444573</v>
      </c>
      <c r="C18" s="5" t="s">
        <v>902</v>
      </c>
      <c r="D18" s="5"/>
      <c r="E18" s="5"/>
      <c r="F18" s="5"/>
      <c r="G18" s="5"/>
      <c r="H18" s="5"/>
      <c r="I18" s="5" t="s">
        <v>901</v>
      </c>
      <c r="J18" s="389">
        <f>B18*145.04</f>
        <v>75000</v>
      </c>
      <c r="K18" s="64" t="s">
        <v>903</v>
      </c>
      <c r="L18" s="5"/>
      <c r="M18" s="5"/>
      <c r="N18" s="5"/>
      <c r="O18" s="5"/>
      <c r="P18" s="5"/>
      <c r="Q18" s="5"/>
      <c r="R18" s="5"/>
      <c r="S18" s="5"/>
      <c r="T18" s="5"/>
    </row>
    <row r="19" spans="1:20" ht="16.5" customHeight="1" x14ac:dyDescent="0.2">
      <c r="A19" s="5" t="s">
        <v>904</v>
      </c>
      <c r="B19" s="216">
        <v>1</v>
      </c>
      <c r="C19" s="901" t="s">
        <v>1022</v>
      </c>
      <c r="D19" s="809"/>
      <c r="E19" s="809"/>
      <c r="F19" s="809"/>
      <c r="G19" s="809"/>
      <c r="H19" s="809"/>
      <c r="I19" s="5" t="s">
        <v>904</v>
      </c>
      <c r="J19" s="216">
        <v>1</v>
      </c>
      <c r="K19" s="901" t="s">
        <v>1022</v>
      </c>
      <c r="L19" s="809"/>
      <c r="M19" s="809"/>
      <c r="N19" s="809"/>
      <c r="O19" s="809"/>
      <c r="P19" s="809"/>
      <c r="Q19" s="5"/>
      <c r="R19" s="5"/>
      <c r="S19" s="5"/>
      <c r="T19" s="5"/>
    </row>
    <row r="20" spans="1:20" x14ac:dyDescent="0.2">
      <c r="A20" s="5" t="s">
        <v>906</v>
      </c>
      <c r="B20" s="216">
        <v>1</v>
      </c>
      <c r="C20" s="901" t="s">
        <v>1023</v>
      </c>
      <c r="D20" s="809"/>
      <c r="E20" s="809"/>
      <c r="F20" s="809"/>
      <c r="G20" s="809"/>
      <c r="H20" s="809"/>
      <c r="I20" s="5" t="s">
        <v>906</v>
      </c>
      <c r="J20" s="216">
        <v>1</v>
      </c>
      <c r="K20" s="901" t="s">
        <v>1023</v>
      </c>
      <c r="L20" s="809"/>
      <c r="M20" s="809"/>
      <c r="N20" s="809"/>
      <c r="O20" s="809"/>
      <c r="P20" s="809"/>
      <c r="Q20" s="5"/>
      <c r="R20" s="5"/>
      <c r="S20" s="5"/>
      <c r="T20" s="5"/>
    </row>
    <row r="21" spans="1:20" ht="13.5" customHeight="1" x14ac:dyDescent="0.2">
      <c r="A21" s="5" t="s">
        <v>908</v>
      </c>
      <c r="B21" s="389">
        <f>'Main Dimensions Calcs'!D53/1000</f>
        <v>20.6</v>
      </c>
      <c r="C21" s="64" t="s">
        <v>909</v>
      </c>
      <c r="D21" s="5"/>
      <c r="E21" s="5"/>
      <c r="F21" s="5"/>
      <c r="G21" s="5"/>
      <c r="H21" s="5"/>
      <c r="I21" s="5" t="s">
        <v>908</v>
      </c>
      <c r="J21" s="389">
        <f>B21*1000/25.4</f>
        <v>811.02362204724409</v>
      </c>
      <c r="K21" s="64" t="s">
        <v>910</v>
      </c>
      <c r="L21" s="5"/>
      <c r="M21" s="5"/>
      <c r="N21" s="5"/>
      <c r="O21" s="5"/>
      <c r="P21" s="5"/>
      <c r="Q21" s="5"/>
      <c r="R21" s="5"/>
      <c r="S21" s="5"/>
      <c r="T21" s="5"/>
    </row>
    <row r="22" spans="1:20" ht="15.75" customHeight="1" x14ac:dyDescent="0.2">
      <c r="A22" s="5" t="s">
        <v>911</v>
      </c>
      <c r="B22" s="390">
        <f>'Main Dimensions Calcs'!D50/1000+'Main Dimensions Calcs'!D52/1000+1150/1000+1.5</f>
        <v>13.088225038973127</v>
      </c>
      <c r="C22" s="64" t="s">
        <v>1038</v>
      </c>
      <c r="D22" s="5"/>
      <c r="E22" s="5"/>
      <c r="F22" s="5"/>
      <c r="G22" s="5"/>
      <c r="H22" s="5"/>
      <c r="I22" s="5" t="s">
        <v>911</v>
      </c>
      <c r="J22" s="389">
        <f>B22*1000/25.4</f>
        <v>515.28445035327275</v>
      </c>
      <c r="K22" s="64" t="s">
        <v>1039</v>
      </c>
      <c r="L22" s="5"/>
      <c r="M22" s="5"/>
      <c r="N22" s="5"/>
      <c r="O22" s="5"/>
      <c r="P22" s="5"/>
      <c r="Q22" s="5"/>
      <c r="R22" s="5"/>
      <c r="S22" s="5"/>
      <c r="T22" s="5"/>
    </row>
    <row r="23" spans="1:20" ht="1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81" t="s">
        <v>1040</v>
      </c>
      <c r="L23" s="5"/>
      <c r="M23" s="5"/>
      <c r="N23" s="5"/>
      <c r="O23" s="5"/>
      <c r="P23" s="5"/>
      <c r="Q23" s="5"/>
      <c r="R23" s="5"/>
      <c r="S23" s="5"/>
      <c r="T23" s="5"/>
    </row>
    <row r="24" spans="1:20" ht="8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81"/>
      <c r="L24" s="5"/>
      <c r="M24" s="5"/>
      <c r="N24" s="5"/>
      <c r="O24" s="5"/>
      <c r="P24" s="5"/>
      <c r="Q24" s="5"/>
      <c r="R24" s="5"/>
      <c r="S24" s="5"/>
      <c r="T24" s="5"/>
    </row>
    <row r="25" spans="1:20" ht="37.35" customHeight="1" x14ac:dyDescent="0.25">
      <c r="A25" s="983" t="s">
        <v>1026</v>
      </c>
      <c r="B25" s="809"/>
      <c r="C25" s="809"/>
      <c r="D25" s="809"/>
      <c r="E25" s="809"/>
      <c r="F25" s="809"/>
      <c r="G25" s="809"/>
      <c r="H25" s="809"/>
      <c r="I25" s="983" t="s">
        <v>1041</v>
      </c>
      <c r="J25" s="809"/>
      <c r="K25" s="809"/>
      <c r="L25" s="809"/>
      <c r="M25" s="809"/>
      <c r="N25" s="809"/>
      <c r="O25" s="809"/>
      <c r="P25" s="809"/>
      <c r="Q25" s="5"/>
      <c r="R25" s="5"/>
      <c r="S25" s="5"/>
      <c r="T25" s="64"/>
    </row>
    <row r="26" spans="1:2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36" customHeight="1" x14ac:dyDescent="0.2">
      <c r="A27" s="218" t="s">
        <v>256</v>
      </c>
      <c r="B27" s="218" t="s">
        <v>254</v>
      </c>
      <c r="C27" s="218" t="s">
        <v>255</v>
      </c>
      <c r="D27" s="5" t="s">
        <v>282</v>
      </c>
      <c r="E27" s="218" t="s">
        <v>917</v>
      </c>
      <c r="F27" s="218" t="s">
        <v>918</v>
      </c>
      <c r="G27" s="218" t="s">
        <v>919</v>
      </c>
      <c r="H27" s="5"/>
      <c r="I27" s="410" t="s">
        <v>256</v>
      </c>
      <c r="J27" s="410" t="s">
        <v>254</v>
      </c>
      <c r="K27" s="410" t="s">
        <v>255</v>
      </c>
      <c r="L27" s="411" t="s">
        <v>282</v>
      </c>
      <c r="M27" s="410" t="s">
        <v>917</v>
      </c>
      <c r="N27" s="410" t="s">
        <v>918</v>
      </c>
      <c r="O27" s="410" t="s">
        <v>919</v>
      </c>
      <c r="P27" s="5"/>
      <c r="Q27" s="5"/>
      <c r="R27" s="5"/>
      <c r="S27" s="5"/>
      <c r="T27" s="5"/>
    </row>
    <row r="28" spans="1:20" ht="29.25" customHeight="1" x14ac:dyDescent="0.2">
      <c r="A28" s="413" t="s">
        <v>253</v>
      </c>
      <c r="B28" s="298" t="s">
        <v>920</v>
      </c>
      <c r="C28" s="298" t="s">
        <v>1027</v>
      </c>
      <c r="D28" s="298" t="s">
        <v>1028</v>
      </c>
      <c r="E28" s="298" t="s">
        <v>922</v>
      </c>
      <c r="F28" s="298" t="s">
        <v>923</v>
      </c>
      <c r="G28" s="298" t="s">
        <v>924</v>
      </c>
      <c r="H28" s="5"/>
      <c r="I28" s="414" t="s">
        <v>253</v>
      </c>
      <c r="J28" s="434" t="s">
        <v>920</v>
      </c>
      <c r="K28" s="434" t="s">
        <v>1027</v>
      </c>
      <c r="L28" s="434" t="s">
        <v>1028</v>
      </c>
      <c r="M28" s="434" t="s">
        <v>922</v>
      </c>
      <c r="N28" s="434" t="s">
        <v>923</v>
      </c>
      <c r="O28" s="434" t="s">
        <v>924</v>
      </c>
      <c r="P28" s="5"/>
      <c r="Q28" s="5"/>
      <c r="R28" s="5"/>
      <c r="S28" s="5"/>
      <c r="T28" s="5"/>
    </row>
    <row r="29" spans="1:20" ht="27" customHeight="1" x14ac:dyDescent="0.2">
      <c r="A29" s="5"/>
      <c r="B29" s="14" t="s">
        <v>247</v>
      </c>
      <c r="C29" s="14" t="s">
        <v>247</v>
      </c>
      <c r="D29" s="5"/>
      <c r="E29" s="14" t="s">
        <v>408</v>
      </c>
      <c r="F29" s="14" t="s">
        <v>447</v>
      </c>
      <c r="G29" s="14" t="s">
        <v>925</v>
      </c>
      <c r="H29" s="5"/>
      <c r="I29" s="289"/>
      <c r="J29" s="140" t="s">
        <v>248</v>
      </c>
      <c r="K29" s="140" t="s">
        <v>248</v>
      </c>
      <c r="L29" s="289"/>
      <c r="M29" s="140" t="s">
        <v>248</v>
      </c>
      <c r="N29" s="140" t="s">
        <v>821</v>
      </c>
      <c r="O29" s="140" t="s">
        <v>926</v>
      </c>
      <c r="P29" s="5"/>
      <c r="Q29" s="5"/>
      <c r="R29" s="5"/>
      <c r="S29" s="5"/>
      <c r="T29" s="5"/>
    </row>
    <row r="30" spans="1:20" ht="29.25" customHeight="1" x14ac:dyDescent="0.2">
      <c r="A30" s="14">
        <v>1</v>
      </c>
      <c r="B30" s="399">
        <f>'Main Dimensions Calcs'!H7</f>
        <v>8</v>
      </c>
      <c r="C30" s="399">
        <f>'Main Dimensions Calcs'!I7</f>
        <v>2000</v>
      </c>
      <c r="D30" s="399">
        <f>'Main Dimensions Calcs'!K7</f>
        <v>1</v>
      </c>
      <c r="E30" s="400">
        <f>B22</f>
        <v>13.088225038973127</v>
      </c>
      <c r="F30" s="260">
        <f>$B$21*PI()*$B$11*(SUMPRODUCT(B30:B39,C30:C39))/1000000+B9+('Main Dimensions Calcs'!$D$74*'Main Dimensions Calcs'!$D$53*PI()/1000000000)*1.02*$B$11*SUM(D30:D36)</f>
        <v>115584.95837912016</v>
      </c>
      <c r="G30" s="401">
        <f t="shared" ref="G30:G38" si="0">$B$14*0.1+$B$13*E30*0.0000098-$B$15*0.1</f>
        <v>0.1178378011486048</v>
      </c>
      <c r="H30" s="5"/>
      <c r="I30" s="402">
        <v>1</v>
      </c>
      <c r="J30" s="430">
        <f t="shared" ref="J30:J38" si="1">B30/25.4</f>
        <v>0.31496062992125984</v>
      </c>
      <c r="K30" s="403">
        <f t="shared" ref="K30:K38" si="2">C30/25.4</f>
        <v>78.740157480314963</v>
      </c>
      <c r="L30" s="404">
        <f t="shared" ref="L30:L38" si="3">D30</f>
        <v>1</v>
      </c>
      <c r="M30" s="403">
        <f t="shared" ref="M30:M38" si="4">E30/25.4*1000</f>
        <v>515.28445035327275</v>
      </c>
      <c r="N30" s="406">
        <f t="shared" ref="N30:N38" si="5">F30*2.205</f>
        <v>254864.83322595997</v>
      </c>
      <c r="O30" s="407">
        <f t="shared" ref="O30:O38" si="6">G30*145.04</f>
        <v>17.091194678593638</v>
      </c>
      <c r="P30" s="5"/>
      <c r="Q30" s="5"/>
      <c r="R30" s="5"/>
      <c r="S30" s="5"/>
      <c r="T30" s="5"/>
    </row>
    <row r="31" spans="1:20" x14ac:dyDescent="0.2">
      <c r="A31" s="14">
        <v>2</v>
      </c>
      <c r="B31" s="399">
        <f>'Main Dimensions Calcs'!H8</f>
        <v>8</v>
      </c>
      <c r="C31" s="399">
        <f>'Main Dimensions Calcs'!I8</f>
        <v>2000</v>
      </c>
      <c r="D31" s="399">
        <f>'Main Dimensions Calcs'!K8</f>
        <v>2</v>
      </c>
      <c r="E31" s="400">
        <f t="shared" ref="E31:E38" si="7">IF(E30-C30/1000&gt;0,E30-C30/1000,0)</f>
        <v>11.088225038973127</v>
      </c>
      <c r="F31" s="260">
        <f>F30-B30*C30*$B$21*PI()*$B$11/1000000-('Main Dimensions Calcs'!$D$74*'Main Dimensions Calcs'!$D$53*PI()/1000000000)*1.02*$B$11*D30</f>
        <v>106667.49987969719</v>
      </c>
      <c r="G31" s="401">
        <f t="shared" si="0"/>
        <v>0.1020010011486048</v>
      </c>
      <c r="H31" s="5"/>
      <c r="I31" s="402">
        <v>2</v>
      </c>
      <c r="J31" s="430">
        <f t="shared" si="1"/>
        <v>0.31496062992125984</v>
      </c>
      <c r="K31" s="403">
        <f t="shared" si="2"/>
        <v>78.740157480314963</v>
      </c>
      <c r="L31" s="404">
        <f t="shared" si="3"/>
        <v>2</v>
      </c>
      <c r="M31" s="403">
        <f t="shared" si="4"/>
        <v>436.54429287295778</v>
      </c>
      <c r="N31" s="406">
        <f t="shared" si="5"/>
        <v>235201.83723473232</v>
      </c>
      <c r="O31" s="407">
        <f t="shared" si="6"/>
        <v>14.794225206593639</v>
      </c>
      <c r="P31" s="5"/>
      <c r="Q31" s="5"/>
      <c r="R31" s="5"/>
      <c r="S31" s="5"/>
      <c r="T31" s="5"/>
    </row>
    <row r="32" spans="1:20" x14ac:dyDescent="0.2">
      <c r="A32" s="14">
        <v>3</v>
      </c>
      <c r="B32" s="399">
        <f>'Main Dimensions Calcs'!H9</f>
        <v>8</v>
      </c>
      <c r="C32" s="399">
        <f>'Main Dimensions Calcs'!I9</f>
        <v>2000</v>
      </c>
      <c r="D32" s="399">
        <f>'Main Dimensions Calcs'!K9</f>
        <v>2</v>
      </c>
      <c r="E32" s="400">
        <f t="shared" si="7"/>
        <v>9.0882250389731265</v>
      </c>
      <c r="F32" s="260">
        <f>F31-B31*C31*$B$21*PI()*$B$11/1000000-('Main Dimensions Calcs'!$D$74*'Main Dimensions Calcs'!$D$53*PI()/1000000000)*1.02*$B$11*D31</f>
        <v>97116.334389836833</v>
      </c>
      <c r="G32" s="401">
        <f t="shared" si="0"/>
        <v>8.6164201148604805E-2</v>
      </c>
      <c r="H32" s="5"/>
      <c r="I32" s="402">
        <v>3</v>
      </c>
      <c r="J32" s="430">
        <f t="shared" si="1"/>
        <v>0.31496062992125984</v>
      </c>
      <c r="K32" s="403">
        <f t="shared" si="2"/>
        <v>78.740157480314963</v>
      </c>
      <c r="L32" s="404">
        <f t="shared" si="3"/>
        <v>2</v>
      </c>
      <c r="M32" s="403">
        <f t="shared" si="4"/>
        <v>357.80413539264276</v>
      </c>
      <c r="N32" s="406">
        <f t="shared" si="5"/>
        <v>214141.51732959022</v>
      </c>
      <c r="O32" s="407">
        <f t="shared" si="6"/>
        <v>12.49725573459364</v>
      </c>
      <c r="P32" s="5"/>
      <c r="Q32" s="5"/>
      <c r="R32" s="5"/>
      <c r="S32" s="5"/>
      <c r="T32" s="5"/>
    </row>
    <row r="33" spans="1:20" x14ac:dyDescent="0.2">
      <c r="A33" s="14">
        <v>4</v>
      </c>
      <c r="B33" s="399">
        <f>'Main Dimensions Calcs'!H10</f>
        <v>8</v>
      </c>
      <c r="C33" s="399">
        <f>'Main Dimensions Calcs'!I10</f>
        <v>1500</v>
      </c>
      <c r="D33" s="399">
        <f>'Main Dimensions Calcs'!K10</f>
        <v>2</v>
      </c>
      <c r="E33" s="400">
        <f t="shared" si="7"/>
        <v>7.0882250389731265</v>
      </c>
      <c r="F33" s="260">
        <f>F32-B32*C32*$B$21*PI()*$B$11/1000000-('Main Dimensions Calcs'!$D$74*'Main Dimensions Calcs'!$D$53*PI()/1000000000)*1.02*$B$11*D32</f>
        <v>87565.168899976474</v>
      </c>
      <c r="G33" s="401">
        <f t="shared" si="0"/>
        <v>7.0327401148604807E-2</v>
      </c>
      <c r="H33" s="5"/>
      <c r="I33" s="402">
        <v>4</v>
      </c>
      <c r="J33" s="430">
        <f t="shared" si="1"/>
        <v>0.31496062992125984</v>
      </c>
      <c r="K33" s="403">
        <f t="shared" si="2"/>
        <v>59.055118110236222</v>
      </c>
      <c r="L33" s="404">
        <f t="shared" si="3"/>
        <v>2</v>
      </c>
      <c r="M33" s="403">
        <f t="shared" si="4"/>
        <v>279.06397791232786</v>
      </c>
      <c r="N33" s="406">
        <f t="shared" si="5"/>
        <v>193081.19742444812</v>
      </c>
      <c r="O33" s="407">
        <f t="shared" si="6"/>
        <v>10.200286262593641</v>
      </c>
      <c r="P33" s="5"/>
      <c r="Q33" s="5"/>
      <c r="R33" s="5"/>
      <c r="S33" s="5"/>
      <c r="T33" s="5"/>
    </row>
    <row r="34" spans="1:20" x14ac:dyDescent="0.2">
      <c r="A34" s="14">
        <v>5</v>
      </c>
      <c r="B34" s="399">
        <f>'Main Dimensions Calcs'!H11</f>
        <v>0</v>
      </c>
      <c r="C34" s="399">
        <f>'Main Dimensions Calcs'!I11</f>
        <v>0</v>
      </c>
      <c r="D34" s="399">
        <f>'Main Dimensions Calcs'!K11</f>
        <v>0</v>
      </c>
      <c r="E34" s="400">
        <f t="shared" si="7"/>
        <v>5.5882250389731265</v>
      </c>
      <c r="F34" s="260">
        <f>F33-B33*C33*$B$21*PI()*$B$11/1000000-('Main Dimensions Calcs'!$D$74*'Main Dimensions Calcs'!$D$53*PI()/1000000000)*1.02*$B$11*D33</f>
        <v>80084.941287362512</v>
      </c>
      <c r="G34" s="401">
        <f t="shared" si="0"/>
        <v>5.8449801148604798E-2</v>
      </c>
      <c r="H34" s="5"/>
      <c r="I34" s="402">
        <v>5</v>
      </c>
      <c r="J34" s="430">
        <f t="shared" si="1"/>
        <v>0</v>
      </c>
      <c r="K34" s="403">
        <f t="shared" si="2"/>
        <v>0</v>
      </c>
      <c r="L34" s="404">
        <f t="shared" si="3"/>
        <v>0</v>
      </c>
      <c r="M34" s="403">
        <f t="shared" si="4"/>
        <v>220.00885980209162</v>
      </c>
      <c r="N34" s="406">
        <f t="shared" si="5"/>
        <v>176587.29553863435</v>
      </c>
      <c r="O34" s="407">
        <f t="shared" si="6"/>
        <v>8.477559158593639</v>
      </c>
      <c r="P34" s="5"/>
      <c r="Q34" s="5"/>
      <c r="R34" s="5"/>
      <c r="S34" s="5"/>
      <c r="T34" s="5"/>
    </row>
    <row r="35" spans="1:20" ht="14.25" customHeight="1" x14ac:dyDescent="0.2">
      <c r="A35" s="14">
        <v>6</v>
      </c>
      <c r="B35" s="399">
        <f>'Main Dimensions Calcs'!H12</f>
        <v>0</v>
      </c>
      <c r="C35" s="399">
        <f>'Main Dimensions Calcs'!I12</f>
        <v>0</v>
      </c>
      <c r="D35" s="399">
        <f>'Main Dimensions Calcs'!K12</f>
        <v>0</v>
      </c>
      <c r="E35" s="400">
        <f t="shared" si="7"/>
        <v>5.5882250389731265</v>
      </c>
      <c r="F35" s="260">
        <f>F34-B34*C34*$B$21*PI()*$B$11/1000000-('Main Dimensions Calcs'!$D$74*'Main Dimensions Calcs'!$D$53*PI()/1000000000)*1.02*$B$11*D34</f>
        <v>80084.941287362512</v>
      </c>
      <c r="G35" s="401">
        <f t="shared" si="0"/>
        <v>5.8449801148604798E-2</v>
      </c>
      <c r="H35" s="5"/>
      <c r="I35" s="402">
        <v>6</v>
      </c>
      <c r="J35" s="430">
        <f t="shared" si="1"/>
        <v>0</v>
      </c>
      <c r="K35" s="403">
        <f t="shared" si="2"/>
        <v>0</v>
      </c>
      <c r="L35" s="404">
        <f t="shared" si="3"/>
        <v>0</v>
      </c>
      <c r="M35" s="403">
        <f t="shared" si="4"/>
        <v>220.00885980209162</v>
      </c>
      <c r="N35" s="406">
        <f t="shared" si="5"/>
        <v>176587.29553863435</v>
      </c>
      <c r="O35" s="407">
        <f t="shared" si="6"/>
        <v>8.477559158593639</v>
      </c>
      <c r="P35" s="5"/>
      <c r="Q35" s="5"/>
      <c r="R35" s="5"/>
      <c r="S35" s="5"/>
      <c r="T35" s="5"/>
    </row>
    <row r="36" spans="1:20" x14ac:dyDescent="0.2">
      <c r="A36" s="14">
        <v>7</v>
      </c>
      <c r="B36" s="399">
        <f>'Main Dimensions Calcs'!H13</f>
        <v>0</v>
      </c>
      <c r="C36" s="399">
        <f>'Main Dimensions Calcs'!I13</f>
        <v>0</v>
      </c>
      <c r="D36" s="399">
        <f>'Main Dimensions Calcs'!K13</f>
        <v>0</v>
      </c>
      <c r="E36" s="400">
        <f t="shared" si="7"/>
        <v>5.5882250389731265</v>
      </c>
      <c r="F36" s="260">
        <f>F35-B35*C35*$B$21*PI()*$B$11/1000000-('Main Dimensions Calcs'!$D$74*'Main Dimensions Calcs'!$D$53*PI()/1000000000)*1.02*$B$11*D35</f>
        <v>80084.941287362512</v>
      </c>
      <c r="G36" s="401">
        <f t="shared" si="0"/>
        <v>5.8449801148604798E-2</v>
      </c>
      <c r="H36" s="5"/>
      <c r="I36" s="402">
        <v>7</v>
      </c>
      <c r="J36" s="430">
        <f t="shared" si="1"/>
        <v>0</v>
      </c>
      <c r="K36" s="403">
        <f t="shared" si="2"/>
        <v>0</v>
      </c>
      <c r="L36" s="404">
        <f t="shared" si="3"/>
        <v>0</v>
      </c>
      <c r="M36" s="403">
        <f t="shared" si="4"/>
        <v>220.00885980209162</v>
      </c>
      <c r="N36" s="406">
        <f t="shared" si="5"/>
        <v>176587.29553863435</v>
      </c>
      <c r="O36" s="407">
        <f t="shared" si="6"/>
        <v>8.477559158593639</v>
      </c>
      <c r="P36" s="5"/>
      <c r="Q36" s="5"/>
      <c r="R36" s="5"/>
      <c r="S36" s="5"/>
      <c r="T36" s="5"/>
    </row>
    <row r="37" spans="1:20" x14ac:dyDescent="0.2">
      <c r="A37" s="14">
        <v>8</v>
      </c>
      <c r="B37" s="399">
        <f>'Main Dimensions Calcs'!H14</f>
        <v>0</v>
      </c>
      <c r="C37" s="399">
        <f>'Main Dimensions Calcs'!J16</f>
        <v>0</v>
      </c>
      <c r="D37" s="399">
        <f>'Main Dimensions Calcs'!K14</f>
        <v>0</v>
      </c>
      <c r="E37" s="400">
        <f t="shared" si="7"/>
        <v>5.5882250389731265</v>
      </c>
      <c r="F37" s="260">
        <f>F36-B36*C36*$B$21*PI()*$B$11/1000000-('Main Dimensions Calcs'!$D$74*'Main Dimensions Calcs'!$D$53*PI()/1000000000)*1.02*$B$11*D36</f>
        <v>80084.941287362512</v>
      </c>
      <c r="G37" s="401">
        <f t="shared" si="0"/>
        <v>5.8449801148604798E-2</v>
      </c>
      <c r="H37" s="5"/>
      <c r="I37" s="402">
        <v>8</v>
      </c>
      <c r="J37" s="430">
        <f t="shared" si="1"/>
        <v>0</v>
      </c>
      <c r="K37" s="403">
        <f t="shared" si="2"/>
        <v>0</v>
      </c>
      <c r="L37" s="404">
        <f t="shared" si="3"/>
        <v>0</v>
      </c>
      <c r="M37" s="403">
        <f t="shared" si="4"/>
        <v>220.00885980209162</v>
      </c>
      <c r="N37" s="406">
        <f t="shared" si="5"/>
        <v>176587.29553863435</v>
      </c>
      <c r="O37" s="407">
        <f t="shared" si="6"/>
        <v>8.477559158593639</v>
      </c>
      <c r="P37" s="5"/>
      <c r="Q37" s="5"/>
      <c r="R37" s="5"/>
      <c r="S37" s="5"/>
      <c r="T37" s="5"/>
    </row>
    <row r="38" spans="1:20" x14ac:dyDescent="0.2">
      <c r="A38" s="14">
        <v>9</v>
      </c>
      <c r="B38" s="399">
        <f>'Main Dimensions Calcs'!H15</f>
        <v>0</v>
      </c>
      <c r="C38" s="399">
        <f>'Main Dimensions Calcs'!I15</f>
        <v>0</v>
      </c>
      <c r="D38" s="399">
        <f>'Main Dimensions Calcs'!K15</f>
        <v>0</v>
      </c>
      <c r="E38" s="400">
        <f t="shared" si="7"/>
        <v>5.5882250389731265</v>
      </c>
      <c r="F38" s="260">
        <f>F37-B37*C37*$B$21*PI()*$B$11/1000000</f>
        <v>80084.941287362512</v>
      </c>
      <c r="G38" s="401">
        <f t="shared" si="0"/>
        <v>5.8449801148604798E-2</v>
      </c>
      <c r="H38" s="5"/>
      <c r="I38" s="402">
        <v>9</v>
      </c>
      <c r="J38" s="430">
        <f t="shared" si="1"/>
        <v>0</v>
      </c>
      <c r="K38" s="403">
        <f t="shared" si="2"/>
        <v>0</v>
      </c>
      <c r="L38" s="404">
        <f t="shared" si="3"/>
        <v>0</v>
      </c>
      <c r="M38" s="403">
        <f t="shared" si="4"/>
        <v>220.00885980209162</v>
      </c>
      <c r="N38" s="406">
        <f t="shared" si="5"/>
        <v>176587.29553863435</v>
      </c>
      <c r="O38" s="407">
        <f t="shared" si="6"/>
        <v>8.477559158593639</v>
      </c>
      <c r="P38" s="5"/>
      <c r="Q38" s="5"/>
      <c r="R38" s="5"/>
      <c r="S38" s="5"/>
      <c r="T38" s="5"/>
    </row>
    <row r="39" spans="1:20" x14ac:dyDescent="0.2">
      <c r="A39" s="14">
        <v>10</v>
      </c>
      <c r="B39" s="399"/>
      <c r="C39" s="399"/>
      <c r="D39" s="399"/>
      <c r="E39" s="400"/>
      <c r="F39" s="260"/>
      <c r="G39" s="401"/>
      <c r="H39" s="5"/>
      <c r="I39" s="402">
        <v>10</v>
      </c>
      <c r="J39" s="403"/>
      <c r="K39" s="403"/>
      <c r="L39" s="404"/>
      <c r="M39" s="403"/>
      <c r="N39" s="406"/>
      <c r="O39" s="407"/>
      <c r="P39" s="5"/>
      <c r="Q39" s="5"/>
      <c r="R39" s="5"/>
      <c r="S39" s="5"/>
      <c r="T39" s="5"/>
    </row>
    <row r="40" spans="1:20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3.5" customHeight="1" thickBo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7.25" customHeight="1" thickTop="1" thickBot="1" x14ac:dyDescent="0.3">
      <c r="A43" s="28"/>
      <c r="B43" s="4"/>
      <c r="C43" s="408"/>
      <c r="D43" s="934" t="str">
        <f>'Front Page'!$A$13</f>
        <v>Mechanical  Calculations</v>
      </c>
      <c r="E43" s="842"/>
      <c r="F43" s="842"/>
      <c r="G43" s="842"/>
      <c r="H43" s="859"/>
      <c r="I43" s="28"/>
      <c r="J43" s="4"/>
      <c r="K43" s="408"/>
      <c r="L43" s="934" t="str">
        <f>'Front Page'!$A$13</f>
        <v>Mechanical  Calculations</v>
      </c>
      <c r="M43" s="842"/>
      <c r="N43" s="842"/>
      <c r="O43" s="842"/>
      <c r="P43" s="859"/>
      <c r="Q43" s="5"/>
      <c r="R43" s="5"/>
      <c r="S43" s="5"/>
      <c r="T43" s="5"/>
    </row>
    <row r="44" spans="1:20" ht="16.5" customHeight="1" thickBot="1" x14ac:dyDescent="0.3">
      <c r="A44" s="6"/>
      <c r="B44" s="5"/>
      <c r="C44" s="14"/>
      <c r="D44" s="984"/>
      <c r="E44" s="831"/>
      <c r="F44" s="831"/>
      <c r="G44" s="831"/>
      <c r="H44" s="854"/>
      <c r="I44" s="6"/>
      <c r="J44" s="5"/>
      <c r="K44" s="14"/>
      <c r="L44" s="984">
        <f>'Front Page'!$A$21</f>
        <v>0</v>
      </c>
      <c r="M44" s="831"/>
      <c r="N44" s="831"/>
      <c r="O44" s="831"/>
      <c r="P44" s="854"/>
      <c r="Q44" s="5"/>
      <c r="R44" s="5"/>
      <c r="S44" s="5"/>
      <c r="T44" s="5"/>
    </row>
    <row r="45" spans="1:20" ht="16.5" customHeight="1" thickBot="1" x14ac:dyDescent="0.3">
      <c r="A45" s="8"/>
      <c r="B45" s="9"/>
      <c r="C45" s="409"/>
      <c r="D45" s="985" t="s">
        <v>1017</v>
      </c>
      <c r="E45" s="834"/>
      <c r="F45" s="834"/>
      <c r="G45" s="834"/>
      <c r="H45" s="986"/>
      <c r="I45" s="8"/>
      <c r="J45" s="9"/>
      <c r="K45" s="409"/>
      <c r="L45" s="985" t="s">
        <v>1033</v>
      </c>
      <c r="M45" s="834"/>
      <c r="N45" s="834"/>
      <c r="O45" s="834"/>
      <c r="P45" s="986"/>
      <c r="Q45" s="5"/>
      <c r="R45" s="5"/>
      <c r="S45" s="5"/>
      <c r="T45" s="5"/>
    </row>
    <row r="46" spans="1:20" ht="16.5" customHeight="1" thickTop="1" thickBot="1" x14ac:dyDescent="0.3">
      <c r="A46" s="873"/>
      <c r="B46" s="848"/>
      <c r="C46" s="865"/>
      <c r="D46" s="130" t="str">
        <f>'Front Page'!$D$4</f>
        <v>Doc Nº</v>
      </c>
      <c r="E46" s="980"/>
      <c r="F46" s="843"/>
      <c r="G46" s="846"/>
      <c r="H46" s="832"/>
      <c r="I46" s="873"/>
      <c r="J46" s="848"/>
      <c r="K46" s="865"/>
      <c r="L46" s="130" t="str">
        <f>'Front Page'!$D$4</f>
        <v>Doc Nº</v>
      </c>
      <c r="M46" s="980"/>
      <c r="N46" s="843"/>
      <c r="O46" s="846"/>
      <c r="P46" s="832"/>
      <c r="Q46" s="5"/>
      <c r="R46" s="5"/>
      <c r="S46" s="5"/>
      <c r="T46" s="5"/>
    </row>
    <row r="47" spans="1:20" ht="15.75" customHeight="1" thickBot="1" x14ac:dyDescent="0.3">
      <c r="A47" s="860"/>
      <c r="B47" s="851"/>
      <c r="C47" s="861"/>
      <c r="D47" s="133" t="str">
        <f>'Front Page'!$D$5</f>
        <v>Project</v>
      </c>
      <c r="E47" s="899"/>
      <c r="F47" s="835"/>
      <c r="G47" s="131" t="s">
        <v>5</v>
      </c>
      <c r="H47" s="132"/>
      <c r="I47" s="860"/>
      <c r="J47" s="851"/>
      <c r="K47" s="861"/>
      <c r="L47" s="133" t="str">
        <f>'Front Page'!$D$5</f>
        <v>Project</v>
      </c>
      <c r="M47" s="899"/>
      <c r="N47" s="835"/>
      <c r="O47" s="131" t="s">
        <v>5</v>
      </c>
      <c r="P47" s="427"/>
      <c r="Q47" s="5"/>
      <c r="R47" s="5"/>
      <c r="S47" s="5"/>
      <c r="T47" s="5"/>
    </row>
    <row r="48" spans="1:20" ht="13.5" customHeight="1" thickTop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5"/>
      <c r="R48" s="5"/>
      <c r="S48" s="5"/>
      <c r="T48" s="5"/>
    </row>
    <row r="49" spans="1:20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2">
      <c r="A52" s="976" t="s">
        <v>927</v>
      </c>
      <c r="B52" s="809"/>
      <c r="C52" s="809"/>
      <c r="D52" s="809"/>
      <c r="E52" s="809"/>
      <c r="F52" s="809"/>
      <c r="G52" s="809"/>
      <c r="H52" s="809"/>
      <c r="I52" s="976" t="s">
        <v>1029</v>
      </c>
      <c r="J52" s="809"/>
      <c r="K52" s="809"/>
      <c r="L52" s="809"/>
      <c r="M52" s="809"/>
      <c r="N52" s="809"/>
      <c r="O52" s="809"/>
      <c r="P52" s="809"/>
      <c r="Q52" s="5"/>
      <c r="R52" s="5"/>
      <c r="S52" s="5"/>
      <c r="T52" s="5"/>
    </row>
    <row r="53" spans="1:20" x14ac:dyDescent="0.2">
      <c r="A53" s="809"/>
      <c r="B53" s="809"/>
      <c r="C53" s="809"/>
      <c r="D53" s="809"/>
      <c r="E53" s="809"/>
      <c r="F53" s="809"/>
      <c r="G53" s="809"/>
      <c r="H53" s="809"/>
      <c r="I53" s="809"/>
      <c r="J53" s="809"/>
      <c r="K53" s="809"/>
      <c r="L53" s="809"/>
      <c r="M53" s="809"/>
      <c r="N53" s="809"/>
      <c r="O53" s="809"/>
      <c r="P53" s="809"/>
      <c r="Q53" s="5"/>
      <c r="R53" s="5"/>
      <c r="S53" s="5"/>
      <c r="T53" s="5"/>
    </row>
    <row r="54" spans="1:20" x14ac:dyDescent="0.2">
      <c r="A54" s="809"/>
      <c r="B54" s="809"/>
      <c r="C54" s="809"/>
      <c r="D54" s="809"/>
      <c r="E54" s="809"/>
      <c r="F54" s="809"/>
      <c r="G54" s="809"/>
      <c r="H54" s="809"/>
      <c r="I54" s="809"/>
      <c r="J54" s="809"/>
      <c r="K54" s="809"/>
      <c r="L54" s="809"/>
      <c r="M54" s="809"/>
      <c r="N54" s="809"/>
      <c r="O54" s="809"/>
      <c r="P54" s="809"/>
      <c r="Q54" s="5"/>
      <c r="R54" s="5"/>
      <c r="S54" s="5"/>
      <c r="T54" s="5"/>
    </row>
    <row r="55" spans="1:20" ht="24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3.5" customHeight="1" x14ac:dyDescent="0.2">
      <c r="A56" s="932" t="s">
        <v>928</v>
      </c>
      <c r="B56" s="5"/>
      <c r="C56" s="5"/>
      <c r="D56" s="932" t="s">
        <v>929</v>
      </c>
      <c r="E56" s="809"/>
      <c r="F56" s="5"/>
      <c r="G56" s="5"/>
      <c r="H56" s="5"/>
      <c r="I56" s="977" t="s">
        <v>928</v>
      </c>
      <c r="J56" s="979" t="s">
        <v>931</v>
      </c>
      <c r="K56" s="916"/>
      <c r="L56" s="977" t="s">
        <v>929</v>
      </c>
      <c r="M56" s="916"/>
      <c r="N56" s="979" t="s">
        <v>930</v>
      </c>
      <c r="O56" s="916"/>
      <c r="P56" s="5"/>
      <c r="Q56" s="5"/>
      <c r="R56" s="5"/>
      <c r="S56" s="5"/>
      <c r="T56" s="5"/>
    </row>
    <row r="57" spans="1:20" x14ac:dyDescent="0.2">
      <c r="A57" s="809"/>
      <c r="B57" s="808" t="s">
        <v>931</v>
      </c>
      <c r="C57" s="809"/>
      <c r="D57" s="809"/>
      <c r="E57" s="809"/>
      <c r="F57" s="808" t="s">
        <v>930</v>
      </c>
      <c r="G57" s="809"/>
      <c r="H57" s="5"/>
      <c r="I57" s="906"/>
      <c r="J57" s="904"/>
      <c r="K57" s="917"/>
      <c r="L57" s="904"/>
      <c r="M57" s="917"/>
      <c r="N57" s="904"/>
      <c r="O57" s="917"/>
      <c r="P57" s="5"/>
      <c r="Q57" s="5"/>
      <c r="R57" s="5"/>
      <c r="S57" s="5"/>
      <c r="T57" s="5"/>
    </row>
    <row r="58" spans="1:20" x14ac:dyDescent="0.2">
      <c r="A58" s="413" t="s">
        <v>253</v>
      </c>
      <c r="B58" s="14" t="s">
        <v>932</v>
      </c>
      <c r="C58" s="14" t="s">
        <v>933</v>
      </c>
      <c r="D58" s="14" t="s">
        <v>934</v>
      </c>
      <c r="E58" s="14" t="s">
        <v>935</v>
      </c>
      <c r="F58" s="14" t="s">
        <v>936</v>
      </c>
      <c r="G58" s="14" t="s">
        <v>937</v>
      </c>
      <c r="H58" s="5"/>
      <c r="I58" s="414" t="s">
        <v>253</v>
      </c>
      <c r="J58" s="412" t="s">
        <v>932</v>
      </c>
      <c r="K58" s="412" t="s">
        <v>933</v>
      </c>
      <c r="L58" s="412" t="s">
        <v>934</v>
      </c>
      <c r="M58" s="412" t="s">
        <v>935</v>
      </c>
      <c r="N58" s="412" t="s">
        <v>936</v>
      </c>
      <c r="O58" s="412" t="s">
        <v>937</v>
      </c>
      <c r="P58" s="5"/>
      <c r="Q58" s="5"/>
      <c r="R58" s="5"/>
      <c r="S58" s="5"/>
      <c r="T58" s="5"/>
    </row>
    <row r="59" spans="1:20" x14ac:dyDescent="0.2">
      <c r="A59" s="5"/>
      <c r="B59" s="5" t="s">
        <v>940</v>
      </c>
      <c r="C59" s="5" t="s">
        <v>940</v>
      </c>
      <c r="D59" s="5" t="s">
        <v>247</v>
      </c>
      <c r="E59" s="5" t="s">
        <v>247</v>
      </c>
      <c r="F59" s="5" t="s">
        <v>941</v>
      </c>
      <c r="G59" s="5" t="s">
        <v>941</v>
      </c>
      <c r="H59" s="5"/>
      <c r="I59" s="289"/>
      <c r="J59" s="289" t="s">
        <v>940</v>
      </c>
      <c r="K59" s="289" t="s">
        <v>940</v>
      </c>
      <c r="L59" s="293" t="s">
        <v>248</v>
      </c>
      <c r="M59" s="293" t="s">
        <v>248</v>
      </c>
      <c r="N59" s="293" t="s">
        <v>926</v>
      </c>
      <c r="O59" s="293" t="s">
        <v>926</v>
      </c>
      <c r="P59" s="5"/>
      <c r="Q59" s="5"/>
      <c r="R59" s="5"/>
      <c r="S59" s="5"/>
      <c r="T59" s="5"/>
    </row>
    <row r="60" spans="1:20" x14ac:dyDescent="0.2">
      <c r="A60" s="14">
        <v>1</v>
      </c>
      <c r="B60" s="14">
        <f t="shared" ref="B60:B68" si="8">$B$21/4*(G30*1000000+F30*9.8/($B$21^2*PI()/4))</f>
        <v>624367.58768584474</v>
      </c>
      <c r="C60" s="14">
        <f t="shared" ref="C60:C68" si="9">G30*$B$21*1000000/2</f>
        <v>1213729.3518306296</v>
      </c>
      <c r="D60" s="418">
        <f t="shared" ref="D60:D67" si="10">B60*1000/($B$17*1000000)/$B$19</f>
        <v>3.3540101821464785</v>
      </c>
      <c r="E60" s="418">
        <f t="shared" ref="E60:E67" si="11">C60*1000/($B$17*1000000)/$B$20</f>
        <v>6.5199742662783144</v>
      </c>
      <c r="F60" s="418">
        <f t="shared" ref="F60:F68" si="12">B60/B30/$B$19/1000</f>
        <v>78.0459484607306</v>
      </c>
      <c r="G60" s="418">
        <f t="shared" ref="G60:G68" si="13">C60/B30/$B$20/1000</f>
        <v>151.7161689788287</v>
      </c>
      <c r="H60" s="5"/>
      <c r="I60" s="402">
        <v>1</v>
      </c>
      <c r="J60" s="402">
        <f t="shared" ref="J60:J68" si="14">B60</f>
        <v>624367.58768584474</v>
      </c>
      <c r="K60" s="402">
        <f t="shared" ref="K60:K68" si="15">C60</f>
        <v>1213729.3518306296</v>
      </c>
      <c r="L60" s="440">
        <f t="shared" ref="L60:L68" si="16">D60/25.4</f>
        <v>0.13204764496639679</v>
      </c>
      <c r="M60" s="440">
        <f t="shared" ref="M60:M68" si="17">E60/25.4</f>
        <v>0.25669190024717775</v>
      </c>
      <c r="N60" s="419">
        <f t="shared" ref="N60:N68" si="18">F60*145.04</f>
        <v>11319.784364744366</v>
      </c>
      <c r="O60" s="419">
        <f t="shared" ref="O60:O68" si="19">G60*145.04</f>
        <v>22004.913148689313</v>
      </c>
      <c r="P60" s="5"/>
      <c r="Q60" s="5"/>
      <c r="R60" s="5"/>
      <c r="S60" s="5"/>
      <c r="T60" s="5"/>
    </row>
    <row r="61" spans="1:20" x14ac:dyDescent="0.2">
      <c r="A61" s="14">
        <v>2</v>
      </c>
      <c r="B61" s="14">
        <f t="shared" si="8"/>
        <v>541457.70608584466</v>
      </c>
      <c r="C61" s="14">
        <f t="shared" si="9"/>
        <v>1050610.3118306296</v>
      </c>
      <c r="D61" s="418">
        <f t="shared" si="10"/>
        <v>2.9086305811366997</v>
      </c>
      <c r="E61" s="418">
        <f t="shared" si="11"/>
        <v>5.6437229491820187</v>
      </c>
      <c r="F61" s="418">
        <f t="shared" si="12"/>
        <v>67.682213260730578</v>
      </c>
      <c r="G61" s="418">
        <f t="shared" si="13"/>
        <v>131.3262889788287</v>
      </c>
      <c r="H61" s="5"/>
      <c r="I61" s="402">
        <v>2</v>
      </c>
      <c r="J61" s="402">
        <f t="shared" si="14"/>
        <v>541457.70608584466</v>
      </c>
      <c r="K61" s="402">
        <f t="shared" si="15"/>
        <v>1050610.3118306296</v>
      </c>
      <c r="L61" s="440">
        <f t="shared" si="16"/>
        <v>0.11451301500538189</v>
      </c>
      <c r="M61" s="440">
        <f t="shared" si="17"/>
        <v>0.22219381689692988</v>
      </c>
      <c r="N61" s="419">
        <f t="shared" si="18"/>
        <v>9816.6282113363632</v>
      </c>
      <c r="O61" s="419">
        <f t="shared" si="19"/>
        <v>19047.564953489313</v>
      </c>
      <c r="P61" s="5"/>
      <c r="Q61" s="5"/>
      <c r="R61" s="5"/>
      <c r="S61" s="5"/>
      <c r="T61" s="5"/>
    </row>
    <row r="62" spans="1:20" x14ac:dyDescent="0.2">
      <c r="A62" s="14">
        <v>3</v>
      </c>
      <c r="B62" s="14">
        <f t="shared" si="8"/>
        <v>458451.86288584466</v>
      </c>
      <c r="C62" s="14">
        <f t="shared" si="9"/>
        <v>887491.27183062956</v>
      </c>
      <c r="D62" s="418">
        <f t="shared" si="10"/>
        <v>2.4627354886282555</v>
      </c>
      <c r="E62" s="418">
        <f t="shared" si="11"/>
        <v>4.767471632085722</v>
      </c>
      <c r="F62" s="418">
        <f t="shared" si="12"/>
        <v>57.306482860730583</v>
      </c>
      <c r="G62" s="418">
        <f t="shared" si="13"/>
        <v>110.93640897882869</v>
      </c>
      <c r="H62" s="5"/>
      <c r="I62" s="402">
        <v>3</v>
      </c>
      <c r="J62" s="402">
        <f t="shared" si="14"/>
        <v>458451.86288584466</v>
      </c>
      <c r="K62" s="402">
        <f t="shared" si="15"/>
        <v>887491.27183062956</v>
      </c>
      <c r="L62" s="440">
        <f t="shared" si="16"/>
        <v>9.6958090103474628E-2</v>
      </c>
      <c r="M62" s="440">
        <f t="shared" si="17"/>
        <v>0.18769573354668198</v>
      </c>
      <c r="N62" s="419">
        <f t="shared" si="18"/>
        <v>8311.7322741203625</v>
      </c>
      <c r="O62" s="419">
        <f t="shared" si="19"/>
        <v>16090.216758289313</v>
      </c>
      <c r="P62" s="5"/>
      <c r="Q62" s="5"/>
      <c r="R62" s="5"/>
      <c r="S62" s="5"/>
      <c r="T62" s="5"/>
    </row>
    <row r="63" spans="1:20" x14ac:dyDescent="0.2">
      <c r="A63" s="14">
        <v>4</v>
      </c>
      <c r="B63" s="14">
        <f t="shared" si="8"/>
        <v>375446.01968584466</v>
      </c>
      <c r="C63" s="14">
        <f t="shared" si="9"/>
        <v>724372.23183062964</v>
      </c>
      <c r="D63" s="418">
        <f t="shared" si="10"/>
        <v>2.0168403961198114</v>
      </c>
      <c r="E63" s="418">
        <f t="shared" si="11"/>
        <v>3.8912203149894262</v>
      </c>
      <c r="F63" s="418">
        <f t="shared" si="12"/>
        <v>46.930752460730581</v>
      </c>
      <c r="G63" s="418">
        <f t="shared" si="13"/>
        <v>90.546528978828704</v>
      </c>
      <c r="H63" s="5"/>
      <c r="I63" s="402">
        <v>4</v>
      </c>
      <c r="J63" s="402">
        <f t="shared" si="14"/>
        <v>375446.01968584466</v>
      </c>
      <c r="K63" s="402">
        <f t="shared" si="15"/>
        <v>724372.23183062964</v>
      </c>
      <c r="L63" s="440">
        <f t="shared" si="16"/>
        <v>7.9403165201567386E-2</v>
      </c>
      <c r="M63" s="440">
        <f t="shared" si="17"/>
        <v>0.15319765019643411</v>
      </c>
      <c r="N63" s="419">
        <f t="shared" si="18"/>
        <v>6806.8363369043627</v>
      </c>
      <c r="O63" s="419">
        <f t="shared" si="19"/>
        <v>13132.868563089314</v>
      </c>
      <c r="P63" s="5"/>
      <c r="Q63" s="5"/>
      <c r="R63" s="5"/>
      <c r="S63" s="5"/>
      <c r="T63" s="5"/>
    </row>
    <row r="64" spans="1:20" x14ac:dyDescent="0.2">
      <c r="A64" s="14">
        <v>5</v>
      </c>
      <c r="B64" s="14">
        <f t="shared" si="8"/>
        <v>313143.65648584464</v>
      </c>
      <c r="C64" s="14">
        <f t="shared" si="9"/>
        <v>602032.95183062949</v>
      </c>
      <c r="D64" s="418">
        <f t="shared" si="10"/>
        <v>1.6821613309891443</v>
      </c>
      <c r="E64" s="418">
        <f t="shared" si="11"/>
        <v>3.2340318271672031</v>
      </c>
      <c r="F64" s="418" t="e">
        <f t="shared" si="12"/>
        <v>#DIV/0!</v>
      </c>
      <c r="G64" s="418" t="e">
        <f t="shared" si="13"/>
        <v>#DIV/0!</v>
      </c>
      <c r="H64" s="5"/>
      <c r="I64" s="402">
        <v>5</v>
      </c>
      <c r="J64" s="402">
        <f t="shared" si="14"/>
        <v>313143.65648584464</v>
      </c>
      <c r="K64" s="402">
        <f t="shared" si="15"/>
        <v>602032.95183062949</v>
      </c>
      <c r="L64" s="440">
        <f t="shared" si="16"/>
        <v>6.6226824054690728E-2</v>
      </c>
      <c r="M64" s="440">
        <f t="shared" si="17"/>
        <v>0.12732408768374817</v>
      </c>
      <c r="N64" s="419" t="e">
        <f t="shared" si="18"/>
        <v>#DIV/0!</v>
      </c>
      <c r="O64" s="419" t="e">
        <f t="shared" si="19"/>
        <v>#DIV/0!</v>
      </c>
      <c r="P64" s="5"/>
      <c r="Q64" s="5"/>
      <c r="R64" s="5"/>
      <c r="S64" s="5"/>
      <c r="T64" s="5"/>
    </row>
    <row r="65" spans="1:20" x14ac:dyDescent="0.2">
      <c r="A65" s="14">
        <v>6</v>
      </c>
      <c r="B65" s="14">
        <f t="shared" si="8"/>
        <v>313143.65648584464</v>
      </c>
      <c r="C65" s="14">
        <f t="shared" si="9"/>
        <v>602032.95183062949</v>
      </c>
      <c r="D65" s="418">
        <f t="shared" si="10"/>
        <v>1.6821613309891443</v>
      </c>
      <c r="E65" s="418">
        <f t="shared" si="11"/>
        <v>3.2340318271672031</v>
      </c>
      <c r="F65" s="418" t="e">
        <f t="shared" si="12"/>
        <v>#DIV/0!</v>
      </c>
      <c r="G65" s="418" t="e">
        <f t="shared" si="13"/>
        <v>#DIV/0!</v>
      </c>
      <c r="H65" s="5"/>
      <c r="I65" s="402">
        <v>6</v>
      </c>
      <c r="J65" s="402">
        <f t="shared" si="14"/>
        <v>313143.65648584464</v>
      </c>
      <c r="K65" s="402">
        <f t="shared" si="15"/>
        <v>602032.95183062949</v>
      </c>
      <c r="L65" s="440">
        <f t="shared" si="16"/>
        <v>6.6226824054690728E-2</v>
      </c>
      <c r="M65" s="440">
        <f t="shared" si="17"/>
        <v>0.12732408768374817</v>
      </c>
      <c r="N65" s="419" t="e">
        <f t="shared" si="18"/>
        <v>#DIV/0!</v>
      </c>
      <c r="O65" s="419" t="e">
        <f t="shared" si="19"/>
        <v>#DIV/0!</v>
      </c>
      <c r="P65" s="5"/>
      <c r="Q65" s="5"/>
      <c r="R65" s="5"/>
      <c r="S65" s="5"/>
      <c r="T65" s="5"/>
    </row>
    <row r="66" spans="1:20" x14ac:dyDescent="0.2">
      <c r="A66" s="14">
        <v>7</v>
      </c>
      <c r="B66" s="14">
        <f t="shared" si="8"/>
        <v>313143.65648584464</v>
      </c>
      <c r="C66" s="14">
        <f t="shared" si="9"/>
        <v>602032.95183062949</v>
      </c>
      <c r="D66" s="418">
        <f t="shared" si="10"/>
        <v>1.6821613309891443</v>
      </c>
      <c r="E66" s="418">
        <f t="shared" si="11"/>
        <v>3.2340318271672031</v>
      </c>
      <c r="F66" s="418" t="e">
        <f t="shared" si="12"/>
        <v>#DIV/0!</v>
      </c>
      <c r="G66" s="418" t="e">
        <f t="shared" si="13"/>
        <v>#DIV/0!</v>
      </c>
      <c r="H66" s="5"/>
      <c r="I66" s="402">
        <v>7</v>
      </c>
      <c r="J66" s="402">
        <f t="shared" si="14"/>
        <v>313143.65648584464</v>
      </c>
      <c r="K66" s="402">
        <f t="shared" si="15"/>
        <v>602032.95183062949</v>
      </c>
      <c r="L66" s="440">
        <f t="shared" si="16"/>
        <v>6.6226824054690728E-2</v>
      </c>
      <c r="M66" s="440">
        <f t="shared" si="17"/>
        <v>0.12732408768374817</v>
      </c>
      <c r="N66" s="419" t="e">
        <f t="shared" si="18"/>
        <v>#DIV/0!</v>
      </c>
      <c r="O66" s="419" t="e">
        <f t="shared" si="19"/>
        <v>#DIV/0!</v>
      </c>
      <c r="P66" s="5"/>
      <c r="Q66" s="5"/>
      <c r="R66" s="5"/>
      <c r="S66" s="5"/>
      <c r="T66" s="5"/>
    </row>
    <row r="67" spans="1:20" x14ac:dyDescent="0.2">
      <c r="A67" s="14">
        <v>8</v>
      </c>
      <c r="B67" s="14">
        <f t="shared" si="8"/>
        <v>313143.65648584464</v>
      </c>
      <c r="C67" s="14">
        <f t="shared" si="9"/>
        <v>602032.95183062949</v>
      </c>
      <c r="D67" s="418">
        <f t="shared" si="10"/>
        <v>1.6821613309891443</v>
      </c>
      <c r="E67" s="418">
        <f t="shared" si="11"/>
        <v>3.2340318271672031</v>
      </c>
      <c r="F67" s="418" t="e">
        <f t="shared" si="12"/>
        <v>#DIV/0!</v>
      </c>
      <c r="G67" s="418" t="e">
        <f t="shared" si="13"/>
        <v>#DIV/0!</v>
      </c>
      <c r="H67" s="5"/>
      <c r="I67" s="402">
        <v>8</v>
      </c>
      <c r="J67" s="402">
        <f t="shared" si="14"/>
        <v>313143.65648584464</v>
      </c>
      <c r="K67" s="402">
        <f t="shared" si="15"/>
        <v>602032.95183062949</v>
      </c>
      <c r="L67" s="440">
        <f t="shared" si="16"/>
        <v>6.6226824054690728E-2</v>
      </c>
      <c r="M67" s="440">
        <f t="shared" si="17"/>
        <v>0.12732408768374817</v>
      </c>
      <c r="N67" s="419" t="e">
        <f t="shared" si="18"/>
        <v>#DIV/0!</v>
      </c>
      <c r="O67" s="419" t="e">
        <f t="shared" si="19"/>
        <v>#DIV/0!</v>
      </c>
      <c r="P67" s="5"/>
      <c r="Q67" s="5"/>
      <c r="R67" s="5"/>
      <c r="S67" s="5"/>
      <c r="T67" s="5"/>
    </row>
    <row r="68" spans="1:20" x14ac:dyDescent="0.2">
      <c r="A68" s="14">
        <v>9</v>
      </c>
      <c r="B68" s="14">
        <f t="shared" si="8"/>
        <v>313143.65648584464</v>
      </c>
      <c r="C68" s="14">
        <f t="shared" si="9"/>
        <v>602032.95183062949</v>
      </c>
      <c r="D68" s="418">
        <f>B68*1000/($B$17*1000000)</f>
        <v>1.6821613309891443</v>
      </c>
      <c r="E68" s="418">
        <f>C68*1000/($B$17*1000000)</f>
        <v>3.2340318271672031</v>
      </c>
      <c r="F68" s="418" t="e">
        <f t="shared" si="12"/>
        <v>#DIV/0!</v>
      </c>
      <c r="G68" s="418" t="e">
        <f t="shared" si="13"/>
        <v>#DIV/0!</v>
      </c>
      <c r="H68" s="5"/>
      <c r="I68" s="402">
        <v>9</v>
      </c>
      <c r="J68" s="402">
        <f t="shared" si="14"/>
        <v>313143.65648584464</v>
      </c>
      <c r="K68" s="402">
        <f t="shared" si="15"/>
        <v>602032.95183062949</v>
      </c>
      <c r="L68" s="440">
        <f t="shared" si="16"/>
        <v>6.6226824054690728E-2</v>
      </c>
      <c r="M68" s="440">
        <f t="shared" si="17"/>
        <v>0.12732408768374817</v>
      </c>
      <c r="N68" s="419" t="e">
        <f t="shared" si="18"/>
        <v>#DIV/0!</v>
      </c>
      <c r="O68" s="419" t="e">
        <f t="shared" si="19"/>
        <v>#DIV/0!</v>
      </c>
      <c r="P68" s="5"/>
      <c r="Q68" s="5"/>
      <c r="R68" s="5"/>
      <c r="S68" s="5"/>
      <c r="T68" s="5"/>
    </row>
    <row r="69" spans="1:20" ht="15" customHeight="1" x14ac:dyDescent="0.2">
      <c r="A69" s="14">
        <v>10</v>
      </c>
      <c r="B69" s="14"/>
      <c r="C69" s="14"/>
      <c r="D69" s="418"/>
      <c r="E69" s="418"/>
      <c r="F69" s="418"/>
      <c r="G69" s="418"/>
      <c r="H69" s="5"/>
      <c r="I69" s="402">
        <v>10</v>
      </c>
      <c r="J69" s="402"/>
      <c r="K69" s="402"/>
      <c r="L69" s="440"/>
      <c r="M69" s="440"/>
      <c r="N69" s="419"/>
      <c r="O69" s="419"/>
      <c r="P69" s="5"/>
      <c r="Q69" s="5"/>
      <c r="R69" s="5"/>
      <c r="S69" s="5"/>
      <c r="T69" s="5"/>
    </row>
    <row r="70" spans="1:20" ht="14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8" customHeight="1" x14ac:dyDescent="0.25">
      <c r="A73" s="420" t="s">
        <v>942</v>
      </c>
      <c r="B73" s="5"/>
      <c r="C73" s="5"/>
      <c r="D73" s="5"/>
      <c r="E73" s="5"/>
      <c r="F73" s="5"/>
      <c r="G73" s="5"/>
      <c r="H73" s="5"/>
      <c r="I73" s="420" t="s">
        <v>942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8" customHeight="1" x14ac:dyDescent="0.25">
      <c r="A74" s="420"/>
      <c r="B74" s="5"/>
      <c r="C74" s="5"/>
      <c r="D74" s="5"/>
      <c r="E74" s="5"/>
      <c r="F74" s="5"/>
      <c r="G74" s="5"/>
      <c r="H74" s="5"/>
      <c r="I74" s="420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22.5" customHeight="1" x14ac:dyDescent="0.2">
      <c r="A75" s="5"/>
      <c r="B75" s="111" t="s">
        <v>256</v>
      </c>
      <c r="C75" s="5"/>
      <c r="D75" s="5"/>
      <c r="E75" s="5"/>
      <c r="F75" s="5"/>
      <c r="G75" s="5"/>
      <c r="H75" s="5"/>
      <c r="I75" s="5"/>
      <c r="J75" s="111" t="s">
        <v>256</v>
      </c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2.75" customHeight="1" x14ac:dyDescent="0.2">
      <c r="A76" s="5"/>
      <c r="B76" s="218" t="s">
        <v>253</v>
      </c>
      <c r="C76" s="14" t="s">
        <v>946</v>
      </c>
      <c r="D76" s="5"/>
      <c r="E76" s="5"/>
      <c r="F76" s="5"/>
      <c r="G76" s="5"/>
      <c r="H76" s="5"/>
      <c r="I76" s="5"/>
      <c r="J76" s="218" t="s">
        <v>253</v>
      </c>
      <c r="K76" s="14" t="s">
        <v>946</v>
      </c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2">
      <c r="A77" s="5"/>
      <c r="B77" s="14">
        <v>1</v>
      </c>
      <c r="C77" s="417">
        <f t="shared" ref="C77:C85" si="20">B30/MAX(D60,E60)</f>
        <v>1.2269987078593951</v>
      </c>
      <c r="D77" s="264" t="str">
        <f t="shared" ref="D77:D85" si="21">IF(B30&gt;0,IF(C77&gt;1,"OK","ERROR"),"N/A")</f>
        <v>OK</v>
      </c>
      <c r="E77" s="5"/>
      <c r="F77" s="5"/>
      <c r="G77" s="5"/>
      <c r="H77" s="5"/>
      <c r="I77" s="5"/>
      <c r="J77" s="14">
        <v>1</v>
      </c>
      <c r="K77" s="417">
        <f t="shared" ref="K77:K85" si="22">J30/MAX(L60,M60)</f>
        <v>1.2269987078593951</v>
      </c>
      <c r="L77" s="264" t="str">
        <f t="shared" ref="L77:L85" si="23">IF(J30&gt;0,IF(K77&gt;1,"OK","ERROR"),"N/A")</f>
        <v>OK</v>
      </c>
      <c r="M77" s="5"/>
      <c r="N77" s="5"/>
      <c r="O77" s="5"/>
      <c r="P77" s="5"/>
      <c r="Q77" s="5"/>
      <c r="R77" s="5"/>
      <c r="S77" s="5"/>
      <c r="T77" s="5"/>
    </row>
    <row r="78" spans="1:20" x14ac:dyDescent="0.2">
      <c r="A78" s="5"/>
      <c r="B78" s="14">
        <v>2</v>
      </c>
      <c r="C78" s="417">
        <f t="shared" si="20"/>
        <v>1.4175040256289497</v>
      </c>
      <c r="D78" s="264" t="str">
        <f t="shared" si="21"/>
        <v>OK</v>
      </c>
      <c r="E78" s="5"/>
      <c r="F78" s="5"/>
      <c r="G78" s="5"/>
      <c r="H78" s="5"/>
      <c r="I78" s="5"/>
      <c r="J78" s="14">
        <v>2</v>
      </c>
      <c r="K78" s="417">
        <f t="shared" si="22"/>
        <v>1.4175040256289497</v>
      </c>
      <c r="L78" s="264" t="str">
        <f t="shared" si="23"/>
        <v>OK</v>
      </c>
      <c r="M78" s="5"/>
      <c r="N78" s="5"/>
      <c r="O78" s="5"/>
      <c r="P78" s="5"/>
      <c r="Q78" s="5"/>
      <c r="R78" s="5"/>
      <c r="S78" s="5"/>
      <c r="T78" s="5"/>
    </row>
    <row r="79" spans="1:20" x14ac:dyDescent="0.2">
      <c r="A79" s="5"/>
      <c r="B79" s="14">
        <v>3</v>
      </c>
      <c r="C79" s="417">
        <f t="shared" si="20"/>
        <v>1.6780383015095317</v>
      </c>
      <c r="D79" s="264" t="str">
        <f t="shared" si="21"/>
        <v>OK</v>
      </c>
      <c r="E79" s="5"/>
      <c r="F79" s="5"/>
      <c r="G79" s="5"/>
      <c r="H79" s="5"/>
      <c r="I79" s="5"/>
      <c r="J79" s="14">
        <v>3</v>
      </c>
      <c r="K79" s="417">
        <f t="shared" si="22"/>
        <v>1.6780383015095315</v>
      </c>
      <c r="L79" s="264" t="str">
        <f t="shared" si="23"/>
        <v>OK</v>
      </c>
      <c r="M79" s="5"/>
      <c r="N79" s="5"/>
      <c r="O79" s="5"/>
      <c r="P79" s="5"/>
      <c r="Q79" s="5"/>
      <c r="R79" s="5"/>
      <c r="S79" s="5"/>
      <c r="T79" s="5"/>
    </row>
    <row r="80" spans="1:20" x14ac:dyDescent="0.2">
      <c r="A80" s="5"/>
      <c r="B80" s="14">
        <v>4</v>
      </c>
      <c r="C80" s="417">
        <f t="shared" si="20"/>
        <v>2.0559103192340675</v>
      </c>
      <c r="D80" s="264" t="str">
        <f t="shared" si="21"/>
        <v>OK</v>
      </c>
      <c r="E80" s="5"/>
      <c r="F80" s="5"/>
      <c r="G80" s="5"/>
      <c r="H80" s="5"/>
      <c r="I80" s="5"/>
      <c r="J80" s="14">
        <v>4</v>
      </c>
      <c r="K80" s="417">
        <f t="shared" si="22"/>
        <v>2.0559103192340675</v>
      </c>
      <c r="L80" s="264" t="str">
        <f t="shared" si="23"/>
        <v>OK</v>
      </c>
      <c r="M80" s="5"/>
      <c r="N80" s="5"/>
      <c r="O80" s="5"/>
      <c r="P80" s="5"/>
      <c r="Q80" s="5"/>
      <c r="R80" s="5"/>
      <c r="S80" s="5"/>
      <c r="T80" s="5"/>
    </row>
    <row r="81" spans="1:20" x14ac:dyDescent="0.2">
      <c r="A81" s="5"/>
      <c r="B81" s="14">
        <v>5</v>
      </c>
      <c r="C81" s="417">
        <f t="shared" si="20"/>
        <v>0</v>
      </c>
      <c r="D81" s="264" t="str">
        <f t="shared" si="21"/>
        <v>N/A</v>
      </c>
      <c r="E81" s="5"/>
      <c r="F81" s="5"/>
      <c r="G81" s="5"/>
      <c r="H81" s="5"/>
      <c r="I81" s="5"/>
      <c r="J81" s="14">
        <v>5</v>
      </c>
      <c r="K81" s="417">
        <f t="shared" si="22"/>
        <v>0</v>
      </c>
      <c r="L81" s="264" t="str">
        <f t="shared" si="23"/>
        <v>N/A</v>
      </c>
      <c r="M81" s="5"/>
      <c r="N81" s="5"/>
      <c r="O81" s="5"/>
      <c r="P81" s="5"/>
      <c r="Q81" s="5"/>
      <c r="R81" s="5"/>
      <c r="S81" s="5"/>
      <c r="T81" s="5"/>
    </row>
    <row r="82" spans="1:20" x14ac:dyDescent="0.2">
      <c r="A82" s="5"/>
      <c r="B82" s="14">
        <v>6</v>
      </c>
      <c r="C82" s="417">
        <f t="shared" si="20"/>
        <v>0</v>
      </c>
      <c r="D82" s="264" t="str">
        <f t="shared" si="21"/>
        <v>N/A</v>
      </c>
      <c r="E82" s="5"/>
      <c r="F82" s="5"/>
      <c r="G82" s="5"/>
      <c r="H82" s="5"/>
      <c r="I82" s="5"/>
      <c r="J82" s="14">
        <v>6</v>
      </c>
      <c r="K82" s="417">
        <f t="shared" si="22"/>
        <v>0</v>
      </c>
      <c r="L82" s="264" t="str">
        <f t="shared" si="23"/>
        <v>N/A</v>
      </c>
      <c r="M82" s="5"/>
      <c r="N82" s="5"/>
      <c r="O82" s="5"/>
      <c r="P82" s="5"/>
      <c r="Q82" s="5"/>
      <c r="R82" s="5"/>
      <c r="S82" s="5"/>
      <c r="T82" s="5"/>
    </row>
    <row r="83" spans="1:20" x14ac:dyDescent="0.2">
      <c r="A83" s="5"/>
      <c r="B83" s="14">
        <v>7</v>
      </c>
      <c r="C83" s="417">
        <f t="shared" si="20"/>
        <v>0</v>
      </c>
      <c r="D83" s="264" t="str">
        <f t="shared" si="21"/>
        <v>N/A</v>
      </c>
      <c r="E83" s="5"/>
      <c r="F83" s="5"/>
      <c r="G83" s="5"/>
      <c r="H83" s="5"/>
      <c r="I83" s="5"/>
      <c r="J83" s="14">
        <v>7</v>
      </c>
      <c r="K83" s="417">
        <f t="shared" si="22"/>
        <v>0</v>
      </c>
      <c r="L83" s="264" t="str">
        <f t="shared" si="23"/>
        <v>N/A</v>
      </c>
      <c r="M83" s="5"/>
      <c r="N83" s="5"/>
      <c r="O83" s="5"/>
      <c r="P83" s="5"/>
      <c r="Q83" s="5"/>
      <c r="R83" s="5"/>
      <c r="S83" s="5"/>
      <c r="T83" s="5"/>
    </row>
    <row r="84" spans="1:20" x14ac:dyDescent="0.2">
      <c r="A84" s="5"/>
      <c r="B84" s="14">
        <v>8</v>
      </c>
      <c r="C84" s="417">
        <f t="shared" si="20"/>
        <v>0</v>
      </c>
      <c r="D84" s="264" t="str">
        <f t="shared" si="21"/>
        <v>N/A</v>
      </c>
      <c r="E84" s="5"/>
      <c r="F84" s="5"/>
      <c r="G84" s="5"/>
      <c r="H84" s="5"/>
      <c r="I84" s="5"/>
      <c r="J84" s="14">
        <v>8</v>
      </c>
      <c r="K84" s="417">
        <f t="shared" si="22"/>
        <v>0</v>
      </c>
      <c r="L84" s="264" t="str">
        <f t="shared" si="23"/>
        <v>N/A</v>
      </c>
      <c r="M84" s="5"/>
      <c r="N84" s="5"/>
      <c r="O84" s="5"/>
      <c r="P84" s="5"/>
      <c r="Q84" s="5"/>
      <c r="R84" s="5"/>
      <c r="S84" s="5"/>
      <c r="T84" s="5"/>
    </row>
    <row r="85" spans="1:20" x14ac:dyDescent="0.2">
      <c r="A85" s="5"/>
      <c r="B85" s="14">
        <v>9</v>
      </c>
      <c r="C85" s="417">
        <f t="shared" si="20"/>
        <v>0</v>
      </c>
      <c r="D85" s="264" t="str">
        <f t="shared" si="21"/>
        <v>N/A</v>
      </c>
      <c r="E85" s="5"/>
      <c r="F85" s="5"/>
      <c r="G85" s="5"/>
      <c r="H85" s="5"/>
      <c r="I85" s="5"/>
      <c r="J85" s="14">
        <v>9</v>
      </c>
      <c r="K85" s="417">
        <f t="shared" si="22"/>
        <v>0</v>
      </c>
      <c r="L85" s="264" t="str">
        <f t="shared" si="23"/>
        <v>N/A</v>
      </c>
      <c r="M85" s="5"/>
      <c r="N85" s="5"/>
      <c r="O85" s="5"/>
      <c r="P85" s="5"/>
      <c r="Q85" s="5"/>
      <c r="R85" s="5"/>
      <c r="S85" s="5"/>
      <c r="T85" s="5"/>
    </row>
    <row r="86" spans="1:20" x14ac:dyDescent="0.2">
      <c r="A86" s="5"/>
      <c r="B86" s="14">
        <v>10</v>
      </c>
      <c r="C86" s="417"/>
      <c r="D86" s="264"/>
      <c r="E86" s="5"/>
      <c r="F86" s="5"/>
      <c r="G86" s="5"/>
      <c r="H86" s="5"/>
      <c r="I86" s="5"/>
      <c r="J86" s="14">
        <v>10</v>
      </c>
      <c r="K86" s="417"/>
      <c r="L86" s="264"/>
      <c r="M86" s="5"/>
      <c r="N86" s="5"/>
      <c r="O86" s="5"/>
      <c r="P86" s="5"/>
      <c r="Q86" s="5"/>
      <c r="R86" s="5"/>
      <c r="S86" s="5"/>
      <c r="T86" s="5"/>
    </row>
  </sheetData>
  <mergeCells count="52">
    <mergeCell ref="C20:H20"/>
    <mergeCell ref="D1:H1"/>
    <mergeCell ref="D2:H2"/>
    <mergeCell ref="D3:H3"/>
    <mergeCell ref="A4:C4"/>
    <mergeCell ref="E4:F4"/>
    <mergeCell ref="G4:H4"/>
    <mergeCell ref="A5:C5"/>
    <mergeCell ref="E5:F5"/>
    <mergeCell ref="C9:H10"/>
    <mergeCell ref="C17:H17"/>
    <mergeCell ref="C19:H19"/>
    <mergeCell ref="A25:H25"/>
    <mergeCell ref="D43:H43"/>
    <mergeCell ref="D44:H44"/>
    <mergeCell ref="D45:H45"/>
    <mergeCell ref="A46:C46"/>
    <mergeCell ref="E46:F46"/>
    <mergeCell ref="G46:H46"/>
    <mergeCell ref="A47:C47"/>
    <mergeCell ref="E47:F47"/>
    <mergeCell ref="A52:H54"/>
    <mergeCell ref="A56:A57"/>
    <mergeCell ref="D56:E57"/>
    <mergeCell ref="B57:C57"/>
    <mergeCell ref="F57:G57"/>
    <mergeCell ref="L1:P1"/>
    <mergeCell ref="L2:P2"/>
    <mergeCell ref="L3:P3"/>
    <mergeCell ref="I4:K4"/>
    <mergeCell ref="M4:N4"/>
    <mergeCell ref="O4:P4"/>
    <mergeCell ref="I5:K5"/>
    <mergeCell ref="M5:N5"/>
    <mergeCell ref="K9:P10"/>
    <mergeCell ref="K17:P17"/>
    <mergeCell ref="K19:P19"/>
    <mergeCell ref="K20:P20"/>
    <mergeCell ref="I25:P25"/>
    <mergeCell ref="L43:P43"/>
    <mergeCell ref="L44:P44"/>
    <mergeCell ref="L45:P45"/>
    <mergeCell ref="I46:K46"/>
    <mergeCell ref="M46:N46"/>
    <mergeCell ref="O46:P46"/>
    <mergeCell ref="I47:K47"/>
    <mergeCell ref="M47:N47"/>
    <mergeCell ref="I52:P54"/>
    <mergeCell ref="I56:I57"/>
    <mergeCell ref="L56:M57"/>
    <mergeCell ref="J56:K57"/>
    <mergeCell ref="N56:O57"/>
  </mergeCells>
  <pageMargins left="0.74803149606299213" right="0.74803149606299213" top="0.98425196850393704" bottom="0.98425196850393704" header="0" footer="0"/>
  <pageSetup paperSize="9" scale="98" fitToHeight="0" orientation="portrait"/>
  <rowBreaks count="1" manualBreakCount="1">
    <brk id="42" min="8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AF178"/>
  <sheetViews>
    <sheetView workbookViewId="0">
      <selection activeCell="E98" sqref="E98"/>
    </sheetView>
    <sheetView tabSelected="1" topLeftCell="A137" workbookViewId="1">
      <selection sqref="A1:AK5"/>
    </sheetView>
  </sheetViews>
  <sheetFormatPr defaultColWidth="11.42578125" defaultRowHeight="12.75" x14ac:dyDescent="0.2"/>
  <cols>
    <col min="1" max="1" width="7.140625" customWidth="1"/>
    <col min="2" max="2" width="10.85546875" customWidth="1"/>
    <col min="3" max="3" width="12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8.85546875" customWidth="1"/>
    <col min="10" max="10" width="7.5703125" customWidth="1"/>
    <col min="11" max="11" width="12.140625" bestFit="1" customWidth="1"/>
    <col min="16" max="16" width="10.42578125" customWidth="1"/>
    <col min="18" max="18" width="9.42578125" customWidth="1"/>
    <col min="19" max="19" width="12.85546875" customWidth="1"/>
    <col min="20" max="20" width="12.42578125" customWidth="1"/>
    <col min="21" max="21" width="15.85546875" customWidth="1"/>
    <col min="22" max="22" width="13.85546875" customWidth="1"/>
    <col min="24" max="24" width="12.42578125" customWidth="1"/>
    <col min="26" max="26" width="12.85546875" customWidth="1"/>
    <col min="27" max="27" width="12" customWidth="1"/>
    <col min="28" max="29" width="12.85546875" customWidth="1"/>
    <col min="30" max="30" width="13.140625" customWidth="1"/>
    <col min="31" max="31" width="11.85546875" customWidth="1"/>
  </cols>
  <sheetData>
    <row r="1" spans="1:32" ht="17.25" customHeight="1" thickTop="1" thickBot="1" x14ac:dyDescent="0.3">
      <c r="A1" s="988"/>
      <c r="B1" s="823"/>
      <c r="C1" s="871"/>
      <c r="D1" s="934" t="str">
        <f>'Front Page'!$A$13</f>
        <v>Mechanical  Calculations</v>
      </c>
      <c r="E1" s="842"/>
      <c r="F1" s="842"/>
      <c r="G1" s="842"/>
      <c r="H1" s="859"/>
      <c r="I1" s="988"/>
      <c r="J1" s="823"/>
      <c r="K1" s="871"/>
      <c r="L1" s="934" t="str">
        <f>'Front Page'!$A$13</f>
        <v>Mechanical  Calculations</v>
      </c>
      <c r="M1" s="842"/>
      <c r="N1" s="842"/>
      <c r="O1" s="842"/>
      <c r="P1" s="859"/>
      <c r="Q1" s="988"/>
      <c r="R1" s="823"/>
      <c r="S1" s="871"/>
      <c r="T1" s="934" t="str">
        <f>'Front Page'!$A$13</f>
        <v>Mechanical  Calculations</v>
      </c>
      <c r="U1" s="842"/>
      <c r="V1" s="842"/>
      <c r="W1" s="842"/>
      <c r="X1" s="859"/>
      <c r="Y1" s="988"/>
      <c r="Z1" s="823"/>
      <c r="AA1" s="871"/>
      <c r="AB1" s="934" t="str">
        <f>'Front Page'!$A$13</f>
        <v>Mechanical  Calculations</v>
      </c>
      <c r="AC1" s="842"/>
      <c r="AD1" s="842"/>
      <c r="AE1" s="842"/>
      <c r="AF1" s="859"/>
    </row>
    <row r="2" spans="1:32" ht="16.5" customHeight="1" thickBot="1" x14ac:dyDescent="0.3">
      <c r="A2" s="825"/>
      <c r="B2" s="809"/>
      <c r="C2" s="989"/>
      <c r="D2" s="984"/>
      <c r="E2" s="831"/>
      <c r="F2" s="831"/>
      <c r="G2" s="831"/>
      <c r="H2" s="854"/>
      <c r="I2" s="825"/>
      <c r="J2" s="809"/>
      <c r="K2" s="989"/>
      <c r="L2" s="984">
        <f>'Front Page'!$A$21</f>
        <v>0</v>
      </c>
      <c r="M2" s="831"/>
      <c r="N2" s="831"/>
      <c r="O2" s="831"/>
      <c r="P2" s="854"/>
      <c r="Q2" s="825"/>
      <c r="R2" s="809"/>
      <c r="S2" s="989"/>
      <c r="T2" s="984">
        <f>'Front Page'!$A$21</f>
        <v>0</v>
      </c>
      <c r="U2" s="831"/>
      <c r="V2" s="831"/>
      <c r="W2" s="831"/>
      <c r="X2" s="854"/>
      <c r="Y2" s="825"/>
      <c r="Z2" s="809"/>
      <c r="AA2" s="989"/>
      <c r="AB2" s="984">
        <f>'Front Page'!$A$21</f>
        <v>0</v>
      </c>
      <c r="AC2" s="831"/>
      <c r="AD2" s="831"/>
      <c r="AE2" s="831"/>
      <c r="AF2" s="854"/>
    </row>
    <row r="3" spans="1:32" ht="16.5" customHeight="1" thickBot="1" x14ac:dyDescent="0.3">
      <c r="A3" s="827"/>
      <c r="B3" s="828"/>
      <c r="C3" s="857"/>
      <c r="D3" s="985" t="s">
        <v>1042</v>
      </c>
      <c r="E3" s="834"/>
      <c r="F3" s="834"/>
      <c r="G3" s="834"/>
      <c r="H3" s="986"/>
      <c r="I3" s="827"/>
      <c r="J3" s="828"/>
      <c r="K3" s="857"/>
      <c r="L3" s="985" t="s">
        <v>1042</v>
      </c>
      <c r="M3" s="834"/>
      <c r="N3" s="834"/>
      <c r="O3" s="834"/>
      <c r="P3" s="986"/>
      <c r="Q3" s="827"/>
      <c r="R3" s="828"/>
      <c r="S3" s="857"/>
      <c r="T3" s="985" t="s">
        <v>1042</v>
      </c>
      <c r="U3" s="834"/>
      <c r="V3" s="834"/>
      <c r="W3" s="834"/>
      <c r="X3" s="986"/>
      <c r="Y3" s="827"/>
      <c r="Z3" s="828"/>
      <c r="AA3" s="857"/>
      <c r="AB3" s="985" t="s">
        <v>1042</v>
      </c>
      <c r="AC3" s="834"/>
      <c r="AD3" s="834"/>
      <c r="AE3" s="834"/>
      <c r="AF3" s="986"/>
    </row>
    <row r="4" spans="1:32" ht="16.5" customHeight="1" thickTop="1" thickBot="1" x14ac:dyDescent="0.3">
      <c r="A4" s="873"/>
      <c r="B4" s="848"/>
      <c r="C4" s="865"/>
      <c r="D4" s="385" t="str">
        <f>'Front Page'!$D$4</f>
        <v>Doc Nº</v>
      </c>
      <c r="E4" s="980"/>
      <c r="F4" s="843"/>
      <c r="G4" s="980"/>
      <c r="H4" s="843"/>
      <c r="I4" s="873"/>
      <c r="J4" s="848"/>
      <c r="K4" s="865"/>
      <c r="L4" s="385" t="str">
        <f>'Front Page'!$D$4</f>
        <v>Doc Nº</v>
      </c>
      <c r="M4" s="980"/>
      <c r="N4" s="843"/>
      <c r="O4" s="980"/>
      <c r="P4" s="843"/>
      <c r="Q4" s="873"/>
      <c r="R4" s="848"/>
      <c r="S4" s="865"/>
      <c r="T4" s="385" t="str">
        <f>'Front Page'!$D$4</f>
        <v>Doc Nº</v>
      </c>
      <c r="U4" s="980"/>
      <c r="V4" s="843"/>
      <c r="W4" s="980"/>
      <c r="X4" s="843"/>
      <c r="Y4" s="873"/>
      <c r="Z4" s="848"/>
      <c r="AA4" s="865"/>
      <c r="AB4" s="385" t="str">
        <f>'Front Page'!$D$4</f>
        <v>Doc Nº</v>
      </c>
      <c r="AC4" s="980"/>
      <c r="AD4" s="843"/>
      <c r="AE4" s="980"/>
      <c r="AF4" s="843"/>
    </row>
    <row r="5" spans="1:32" ht="15.75" customHeight="1" thickBot="1" x14ac:dyDescent="0.3">
      <c r="A5" s="860"/>
      <c r="B5" s="851"/>
      <c r="C5" s="861"/>
      <c r="D5" s="386" t="str">
        <f>'Front Page'!$D$5</f>
        <v>Project</v>
      </c>
      <c r="E5" s="899"/>
      <c r="F5" s="835"/>
      <c r="G5" s="131" t="s">
        <v>5</v>
      </c>
      <c r="H5" s="132"/>
      <c r="I5" s="860"/>
      <c r="J5" s="851"/>
      <c r="K5" s="861"/>
      <c r="L5" s="386" t="str">
        <f>'Front Page'!$D$5</f>
        <v>Project</v>
      </c>
      <c r="M5" s="899"/>
      <c r="N5" s="835"/>
      <c r="O5" s="131" t="s">
        <v>5</v>
      </c>
      <c r="P5" s="132"/>
      <c r="Q5" s="860"/>
      <c r="R5" s="851"/>
      <c r="S5" s="861"/>
      <c r="T5" s="386" t="str">
        <f>'Front Page'!$D$5</f>
        <v>Project</v>
      </c>
      <c r="U5" s="899"/>
      <c r="V5" s="835"/>
      <c r="W5" s="131" t="s">
        <v>5</v>
      </c>
      <c r="X5" s="427"/>
      <c r="Y5" s="860"/>
      <c r="Z5" s="851"/>
      <c r="AA5" s="861"/>
      <c r="AB5" s="386" t="str">
        <f>'Front Page'!$D$5</f>
        <v>Project</v>
      </c>
      <c r="AC5" s="899"/>
      <c r="AD5" s="835"/>
      <c r="AE5" s="131" t="s">
        <v>5</v>
      </c>
      <c r="AF5" s="427"/>
    </row>
    <row r="6" spans="1:32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976" t="s">
        <v>1043</v>
      </c>
      <c r="B7" s="809"/>
      <c r="C7" s="809"/>
      <c r="D7" s="809"/>
      <c r="E7" s="809"/>
      <c r="F7" s="809"/>
      <c r="G7" s="809"/>
      <c r="H7" s="809"/>
      <c r="I7" s="5"/>
      <c r="J7" s="5"/>
      <c r="K7" s="5"/>
      <c r="L7" s="5"/>
      <c r="M7" s="5"/>
      <c r="N7" s="5"/>
      <c r="O7" s="5"/>
      <c r="P7" s="5"/>
      <c r="Q7" s="976" t="s">
        <v>1043</v>
      </c>
      <c r="R7" s="809"/>
      <c r="S7" s="809"/>
      <c r="T7" s="809"/>
      <c r="U7" s="809"/>
      <c r="V7" s="809"/>
      <c r="W7" s="809"/>
      <c r="X7" s="809"/>
      <c r="Y7" s="5"/>
      <c r="Z7" s="5"/>
      <c r="AA7" s="5"/>
      <c r="AB7" s="5"/>
      <c r="AC7" s="5"/>
      <c r="AD7" s="5"/>
      <c r="AE7" s="5"/>
      <c r="AF7" s="5"/>
    </row>
    <row r="8" spans="1:32" ht="18" customHeight="1" x14ac:dyDescent="0.2">
      <c r="A8" s="809"/>
      <c r="B8" s="809"/>
      <c r="C8" s="809"/>
      <c r="D8" s="809"/>
      <c r="E8" s="809"/>
      <c r="F8" s="809"/>
      <c r="G8" s="809"/>
      <c r="H8" s="809"/>
      <c r="I8" s="5"/>
      <c r="J8" s="5"/>
      <c r="K8" s="5"/>
      <c r="L8" s="5"/>
      <c r="M8" s="5"/>
      <c r="N8" s="5"/>
      <c r="O8" s="5"/>
      <c r="P8" s="5"/>
      <c r="Q8" s="809"/>
      <c r="R8" s="809"/>
      <c r="S8" s="809"/>
      <c r="T8" s="809"/>
      <c r="U8" s="809"/>
      <c r="V8" s="809"/>
      <c r="W8" s="809"/>
      <c r="X8" s="809"/>
      <c r="Y8" s="5"/>
      <c r="Z8" s="5"/>
      <c r="AA8" s="5"/>
      <c r="AB8" s="5"/>
      <c r="AC8" s="5"/>
      <c r="AD8" s="5"/>
      <c r="AE8" s="5"/>
      <c r="AF8" s="5"/>
    </row>
    <row r="9" spans="1:32" ht="12.6" customHeight="1" x14ac:dyDescent="0.2">
      <c r="A9" s="809"/>
      <c r="B9" s="809"/>
      <c r="C9" s="809"/>
      <c r="D9" s="809"/>
      <c r="E9" s="809"/>
      <c r="F9" s="809"/>
      <c r="G9" s="809"/>
      <c r="H9" s="809"/>
      <c r="I9" s="5"/>
      <c r="J9" s="5"/>
      <c r="K9" s="5"/>
      <c r="L9" s="5"/>
      <c r="M9" s="5"/>
      <c r="N9" s="5"/>
      <c r="O9" s="5"/>
      <c r="P9" s="5"/>
      <c r="Q9" s="809"/>
      <c r="R9" s="809"/>
      <c r="S9" s="809"/>
      <c r="T9" s="809"/>
      <c r="U9" s="809"/>
      <c r="V9" s="809"/>
      <c r="W9" s="809"/>
      <c r="X9" s="809"/>
      <c r="Y9" s="5"/>
      <c r="Z9" s="5"/>
      <c r="AA9" s="5"/>
      <c r="AB9" s="5"/>
      <c r="AC9" s="5"/>
      <c r="AD9" s="5"/>
      <c r="AE9" s="5"/>
      <c r="AF9" s="5"/>
    </row>
    <row r="10" spans="1:32" ht="7.7" customHeight="1" x14ac:dyDescent="0.2">
      <c r="A10" s="809"/>
      <c r="B10" s="809"/>
      <c r="C10" s="809"/>
      <c r="D10" s="809"/>
      <c r="E10" s="809"/>
      <c r="F10" s="809"/>
      <c r="G10" s="809"/>
      <c r="H10" s="809"/>
      <c r="I10" s="5"/>
      <c r="J10" s="5"/>
      <c r="K10" s="5"/>
      <c r="L10" s="5"/>
      <c r="M10" s="5"/>
      <c r="N10" s="5"/>
      <c r="O10" s="5"/>
      <c r="P10" s="5"/>
      <c r="Q10" s="809"/>
      <c r="R10" s="809"/>
      <c r="S10" s="809"/>
      <c r="T10" s="809"/>
      <c r="U10" s="809"/>
      <c r="V10" s="809"/>
      <c r="W10" s="809"/>
      <c r="X10" s="809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118" t="s">
        <v>1044</v>
      </c>
      <c r="B12" s="5"/>
      <c r="C12" s="5"/>
      <c r="D12" s="5"/>
      <c r="E12" s="5"/>
      <c r="F12" s="5"/>
      <c r="G12" s="5"/>
      <c r="H12" s="5"/>
      <c r="I12" s="5"/>
      <c r="J12" s="117"/>
      <c r="K12" s="5"/>
      <c r="L12" s="5"/>
      <c r="M12" s="5"/>
      <c r="N12" s="5"/>
      <c r="O12" s="5"/>
      <c r="P12" s="5"/>
      <c r="Q12" s="118" t="s">
        <v>1044</v>
      </c>
      <c r="R12" s="5"/>
      <c r="S12" s="5"/>
      <c r="T12" s="5"/>
      <c r="U12" s="5"/>
      <c r="V12" s="5"/>
      <c r="W12" s="5"/>
      <c r="X12" s="5"/>
      <c r="Y12" s="5"/>
      <c r="Z12" s="117"/>
      <c r="AA12" s="5"/>
      <c r="AB12" s="5"/>
      <c r="AC12" s="5"/>
      <c r="AD12" s="5"/>
      <c r="AE12" s="5"/>
      <c r="AF12" s="5"/>
    </row>
    <row r="13" spans="1:32" x14ac:dyDescent="0.2">
      <c r="A13" s="5"/>
      <c r="B13" s="5"/>
      <c r="C13" s="5"/>
      <c r="D13" s="5"/>
      <c r="E13" s="5"/>
      <c r="F13" s="5"/>
      <c r="G13" s="5"/>
      <c r="H13" s="5"/>
      <c r="I13" s="5"/>
      <c r="J13" s="11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7"/>
      <c r="AA13" s="5"/>
      <c r="AB13" s="5"/>
      <c r="AC13" s="5"/>
      <c r="AD13" s="5"/>
      <c r="AE13" s="5"/>
      <c r="AF13" s="5"/>
    </row>
    <row r="14" spans="1:32" x14ac:dyDescent="0.2">
      <c r="A14" s="117" t="s">
        <v>1045</v>
      </c>
      <c r="B14" s="263">
        <f>'Main Dimensions Calcs'!D53+'Main Dimensions Calcs'!H7*2</f>
        <v>20616</v>
      </c>
      <c r="C14" s="5" t="s">
        <v>247</v>
      </c>
      <c r="D14" s="64" t="s">
        <v>1046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17" t="s">
        <v>1045</v>
      </c>
      <c r="R14" s="265">
        <f>B14/304.8</f>
        <v>67.637795275590548</v>
      </c>
      <c r="S14" s="64" t="s">
        <v>1047</v>
      </c>
      <c r="T14" s="64" t="s">
        <v>1046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">
      <c r="A15" s="117" t="s">
        <v>1048</v>
      </c>
      <c r="B15" s="216">
        <v>195000</v>
      </c>
      <c r="C15" s="5" t="s">
        <v>925</v>
      </c>
      <c r="D15" s="64" t="s">
        <v>1049</v>
      </c>
      <c r="E15" s="5"/>
      <c r="F15" s="5"/>
      <c r="G15" s="5"/>
      <c r="H15" s="5"/>
      <c r="I15" s="5"/>
      <c r="J15" s="441"/>
      <c r="K15" s="5"/>
      <c r="L15" s="5"/>
      <c r="M15" s="5"/>
      <c r="N15" s="5"/>
      <c r="O15" s="5"/>
      <c r="P15" s="5"/>
      <c r="Q15" s="117" t="s">
        <v>1048</v>
      </c>
      <c r="R15" s="216">
        <f>B15*145.04</f>
        <v>28282800</v>
      </c>
      <c r="S15" s="64" t="s">
        <v>926</v>
      </c>
      <c r="T15" s="64" t="s">
        <v>1049</v>
      </c>
      <c r="U15" s="5"/>
      <c r="V15" s="5"/>
      <c r="W15" s="5"/>
      <c r="X15" s="5"/>
      <c r="Y15" s="5"/>
      <c r="Z15" s="441"/>
      <c r="AA15" s="5"/>
      <c r="AB15" s="5"/>
      <c r="AC15" s="5"/>
      <c r="AD15" s="5"/>
      <c r="AE15" s="5"/>
      <c r="AF15" s="5"/>
    </row>
    <row r="16" spans="1:32" x14ac:dyDescent="0.2">
      <c r="A16" s="117" t="s">
        <v>1050</v>
      </c>
      <c r="B16" s="216">
        <v>3</v>
      </c>
      <c r="C16" s="5"/>
      <c r="D16" s="64" t="s">
        <v>1051</v>
      </c>
      <c r="E16" s="5"/>
      <c r="F16" s="5"/>
      <c r="G16" s="5"/>
      <c r="H16" s="5"/>
      <c r="I16" s="5"/>
      <c r="J16" s="117"/>
      <c r="K16" s="5"/>
      <c r="L16" s="5"/>
      <c r="M16" s="5"/>
      <c r="N16" s="5"/>
      <c r="O16" s="5"/>
      <c r="P16" s="5"/>
      <c r="Q16" s="117" t="s">
        <v>1050</v>
      </c>
      <c r="R16" s="216">
        <v>3</v>
      </c>
      <c r="S16" s="5"/>
      <c r="T16" s="64" t="s">
        <v>1051</v>
      </c>
      <c r="U16" s="5"/>
      <c r="V16" s="5"/>
      <c r="W16" s="5"/>
      <c r="X16" s="5"/>
      <c r="Y16" s="5"/>
      <c r="Z16" s="117"/>
      <c r="AA16" s="5"/>
      <c r="AB16" s="5"/>
      <c r="AC16" s="5"/>
      <c r="AD16" s="5"/>
      <c r="AE16" s="5"/>
      <c r="AF16" s="5"/>
    </row>
    <row r="17" spans="1:32" x14ac:dyDescent="0.2">
      <c r="A17" s="117" t="s">
        <v>1052</v>
      </c>
      <c r="B17" s="389">
        <f>'Allowable Stresses'!G31</f>
        <v>155.12961941533371</v>
      </c>
      <c r="C17" s="5" t="s">
        <v>925</v>
      </c>
      <c r="D17" s="64" t="s">
        <v>1053</v>
      </c>
      <c r="E17" s="5"/>
      <c r="F17" s="5"/>
      <c r="G17" s="5"/>
      <c r="H17" s="5"/>
      <c r="I17" s="5"/>
      <c r="J17" s="117"/>
      <c r="K17" s="5"/>
      <c r="L17" s="5"/>
      <c r="M17" s="5"/>
      <c r="N17" s="5"/>
      <c r="O17" s="5"/>
      <c r="P17" s="5"/>
      <c r="Q17" s="117" t="s">
        <v>1052</v>
      </c>
      <c r="R17" s="216">
        <f>B17*145.04</f>
        <v>22500</v>
      </c>
      <c r="S17" s="64" t="s">
        <v>926</v>
      </c>
      <c r="T17" s="64" t="s">
        <v>1053</v>
      </c>
      <c r="U17" s="5"/>
      <c r="V17" s="5"/>
      <c r="W17" s="5"/>
      <c r="X17" s="5"/>
      <c r="Y17" s="5"/>
      <c r="Z17" s="117"/>
      <c r="AA17" s="5"/>
      <c r="AB17" s="5"/>
      <c r="AC17" s="5"/>
      <c r="AD17" s="5"/>
      <c r="AE17" s="5"/>
      <c r="AF17" s="5"/>
    </row>
    <row r="18" spans="1:32" x14ac:dyDescent="0.2">
      <c r="A18" s="117" t="s">
        <v>1054</v>
      </c>
      <c r="B18" s="265">
        <f>'Main Dimensions Calcs'!I18</f>
        <v>8</v>
      </c>
      <c r="C18" s="5" t="s">
        <v>247</v>
      </c>
      <c r="D18" s="64" t="s">
        <v>1055</v>
      </c>
      <c r="E18" s="5"/>
      <c r="F18" s="5"/>
      <c r="G18" s="5"/>
      <c r="H18" s="5"/>
      <c r="I18" s="5"/>
      <c r="J18" s="117"/>
      <c r="K18" s="5"/>
      <c r="L18" s="5"/>
      <c r="M18" s="5"/>
      <c r="N18" s="5"/>
      <c r="O18" s="5"/>
      <c r="P18" s="5"/>
      <c r="Q18" s="117" t="s">
        <v>1054</v>
      </c>
      <c r="R18" s="265">
        <f>B18/25.4</f>
        <v>0.31496062992125984</v>
      </c>
      <c r="S18" s="64" t="s">
        <v>248</v>
      </c>
      <c r="T18" s="64" t="s">
        <v>1055</v>
      </c>
      <c r="U18" s="5"/>
      <c r="V18" s="5"/>
      <c r="W18" s="5"/>
      <c r="X18" s="5"/>
      <c r="Y18" s="5"/>
      <c r="Z18" s="117"/>
      <c r="AA18" s="5"/>
      <c r="AB18" s="5"/>
      <c r="AC18" s="5"/>
      <c r="AD18" s="5"/>
      <c r="AE18" s="5"/>
      <c r="AF18" s="5"/>
    </row>
    <row r="19" spans="1:32" x14ac:dyDescent="0.2">
      <c r="A19" s="117" t="s">
        <v>1056</v>
      </c>
      <c r="B19" s="5">
        <v>0.3</v>
      </c>
      <c r="C19" s="5"/>
      <c r="D19" s="64" t="s">
        <v>1057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17" t="s">
        <v>1056</v>
      </c>
      <c r="R19" s="5">
        <v>0.3</v>
      </c>
      <c r="S19" s="5"/>
      <c r="T19" s="64" t="s">
        <v>1057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x14ac:dyDescent="0.2">
      <c r="A20" s="117" t="s">
        <v>911</v>
      </c>
      <c r="B20" s="5">
        <f>SUM('Main Dimensions Calcs'!I7:I17)</f>
        <v>7500</v>
      </c>
      <c r="C20" s="5" t="s">
        <v>247</v>
      </c>
      <c r="D20" s="64" t="s">
        <v>1058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17" t="s">
        <v>911</v>
      </c>
      <c r="R20" s="265">
        <f>B20/304.8</f>
        <v>24.606299212598426</v>
      </c>
      <c r="S20" s="64" t="s">
        <v>1047</v>
      </c>
      <c r="T20" s="64" t="s">
        <v>1058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">
      <c r="A21" s="248" t="s">
        <v>971</v>
      </c>
      <c r="B21" s="442">
        <v>80</v>
      </c>
      <c r="C21" s="5" t="s">
        <v>304</v>
      </c>
      <c r="D21" s="64" t="s">
        <v>972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248" t="s">
        <v>971</v>
      </c>
      <c r="R21" s="443">
        <f>B21*0.062428</f>
        <v>4.9942399999999996</v>
      </c>
      <c r="S21" s="64" t="s">
        <v>973</v>
      </c>
      <c r="T21" s="64" t="s">
        <v>972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">
      <c r="A22" s="64" t="s">
        <v>1059</v>
      </c>
      <c r="B22" s="5">
        <v>82.73</v>
      </c>
      <c r="C22" s="5" t="s">
        <v>925</v>
      </c>
      <c r="D22" s="64" t="s">
        <v>1060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64" t="s">
        <v>1059</v>
      </c>
      <c r="R22" s="5">
        <f>B22*145.04</f>
        <v>11999.1592</v>
      </c>
      <c r="S22" s="64" t="s">
        <v>926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">
      <c r="A23" s="5" t="s">
        <v>1061</v>
      </c>
      <c r="B23" s="444">
        <f>R23</f>
        <v>92.997940926125878</v>
      </c>
      <c r="C23" s="5"/>
      <c r="D23" s="901" t="s">
        <v>1062</v>
      </c>
      <c r="E23" s="809"/>
      <c r="F23" s="809"/>
      <c r="G23" s="809"/>
      <c r="H23" s="809"/>
      <c r="I23" s="5"/>
      <c r="J23" s="5"/>
      <c r="K23" s="5"/>
      <c r="L23" s="5"/>
      <c r="M23" s="5"/>
      <c r="N23" s="5"/>
      <c r="O23" s="5"/>
      <c r="P23" s="5"/>
      <c r="Q23" s="5" t="s">
        <v>1061</v>
      </c>
      <c r="R23" s="444">
        <f>SQRT((5.33*R14^3)/('Main Dimensions Calcs'!L40/25.4*R20^2))</f>
        <v>92.997940926125878</v>
      </c>
      <c r="S23" s="5"/>
      <c r="T23" s="901" t="s">
        <v>1062</v>
      </c>
      <c r="U23" s="809"/>
      <c r="V23" s="809"/>
      <c r="W23" s="809"/>
      <c r="X23" s="809"/>
      <c r="Y23" s="5"/>
      <c r="Z23" s="5"/>
      <c r="AA23" s="5"/>
      <c r="AB23" s="5"/>
      <c r="AC23" s="5"/>
      <c r="AD23" s="5"/>
      <c r="AE23" s="5"/>
      <c r="AF23" s="5"/>
    </row>
    <row r="24" spans="1:32" x14ac:dyDescent="0.2">
      <c r="A24" s="445" t="s">
        <v>1061</v>
      </c>
      <c r="B24" s="433"/>
      <c r="C24" s="5"/>
      <c r="D24" s="809"/>
      <c r="E24" s="809"/>
      <c r="F24" s="809"/>
      <c r="G24" s="809"/>
      <c r="H24" s="809"/>
      <c r="I24" s="5"/>
      <c r="J24" s="5"/>
      <c r="K24" s="5"/>
      <c r="L24" s="5"/>
      <c r="M24" s="5"/>
      <c r="N24" s="5"/>
      <c r="O24" s="5"/>
      <c r="P24" s="5"/>
      <c r="Q24" s="226"/>
      <c r="R24" s="5"/>
      <c r="S24" s="5"/>
      <c r="T24" s="809"/>
      <c r="U24" s="809"/>
      <c r="V24" s="809"/>
      <c r="W24" s="809"/>
      <c r="X24" s="809"/>
      <c r="Y24" s="5"/>
      <c r="Z24" s="5"/>
      <c r="AA24" s="5"/>
      <c r="AB24" s="5"/>
      <c r="AC24" s="5"/>
      <c r="AD24" s="5"/>
      <c r="AE24" s="5"/>
      <c r="AF24" s="5"/>
    </row>
    <row r="25" spans="1:32" x14ac:dyDescent="0.2">
      <c r="A25" s="226"/>
      <c r="B25" s="5"/>
      <c r="C25" s="5"/>
      <c r="D25" s="441" t="s">
        <v>1063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26"/>
      <c r="R25" s="5"/>
      <c r="S25" s="5"/>
      <c r="T25" s="441" t="s">
        <v>1063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2">
      <c r="A26" s="341" t="s">
        <v>1064</v>
      </c>
      <c r="B26" s="5">
        <v>0.436</v>
      </c>
      <c r="C26" s="64" t="s">
        <v>424</v>
      </c>
      <c r="D26" s="64" t="s">
        <v>1065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41" t="s">
        <v>1064</v>
      </c>
      <c r="R26" s="5">
        <v>0.436</v>
      </c>
      <c r="S26" s="64" t="s">
        <v>424</v>
      </c>
      <c r="T26" s="64" t="s">
        <v>1065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">
      <c r="A27" s="446" t="s">
        <v>1066</v>
      </c>
      <c r="B27" s="5">
        <v>0.61</v>
      </c>
      <c r="C27" s="64" t="s">
        <v>424</v>
      </c>
      <c r="D27" s="64" t="s">
        <v>1067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6" t="s">
        <v>1066</v>
      </c>
      <c r="R27" s="5">
        <v>0.61</v>
      </c>
      <c r="S27" s="64" t="s">
        <v>424</v>
      </c>
      <c r="T27" s="64" t="s">
        <v>1067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2.75" customHeight="1" x14ac:dyDescent="0.2">
      <c r="A28" s="341" t="s">
        <v>1068</v>
      </c>
      <c r="B28" s="265">
        <f>(1-SIN(B26))/(1+SIN(B26))</f>
        <v>0.40615623300119247</v>
      </c>
      <c r="C28" s="5"/>
      <c r="D28" s="64" t="s">
        <v>1069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341" t="s">
        <v>1068</v>
      </c>
      <c r="R28" s="265">
        <f>(1-SIN(R26))/(1+SIN(R26))</f>
        <v>0.40615623300119247</v>
      </c>
      <c r="S28" s="5"/>
      <c r="T28" s="64" t="s">
        <v>1069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2.75" customHeight="1" x14ac:dyDescent="0.2">
      <c r="A29" s="446" t="s">
        <v>1070</v>
      </c>
      <c r="B29" s="265">
        <f>TAN(B27)</f>
        <v>0.69891886227739108</v>
      </c>
      <c r="C29" s="5"/>
      <c r="D29" s="64" t="s">
        <v>1071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46" t="s">
        <v>1070</v>
      </c>
      <c r="R29" s="265">
        <f>TAN(R27)</f>
        <v>0.69891886227739108</v>
      </c>
      <c r="S29" s="5"/>
      <c r="T29" s="64" t="s">
        <v>1071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">
      <c r="A30" s="341" t="s">
        <v>1072</v>
      </c>
      <c r="B30" s="5">
        <f>B14/4/(B29*B28)</f>
        <v>18156.182124316867</v>
      </c>
      <c r="C30" s="64" t="s">
        <v>247</v>
      </c>
      <c r="D30" s="64" t="s">
        <v>1073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341" t="s">
        <v>1072</v>
      </c>
      <c r="R30" s="265">
        <f>B30/25.4</f>
        <v>714.81031985499476</v>
      </c>
      <c r="S30" s="64" t="s">
        <v>248</v>
      </c>
      <c r="T30" s="64" t="s">
        <v>1073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x14ac:dyDescent="0.2">
      <c r="A31" s="226"/>
      <c r="B31" s="5"/>
      <c r="C31" s="5"/>
      <c r="D31" s="441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26"/>
      <c r="R31" s="5"/>
      <c r="S31" s="5"/>
      <c r="T31" s="441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x14ac:dyDescent="0.2">
      <c r="A32" s="118" t="s">
        <v>1074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18" t="s">
        <v>1074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x14ac:dyDescent="0.2">
      <c r="A34" s="226" t="s">
        <v>1075</v>
      </c>
      <c r="B34" s="333">
        <f>+COUNTIF(H90:H96,"&lt;&gt;roof")</f>
        <v>6</v>
      </c>
      <c r="C34" s="64" t="s">
        <v>346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26" t="s">
        <v>1075</v>
      </c>
      <c r="R34" s="439">
        <f>B34</f>
        <v>6</v>
      </c>
      <c r="S34" s="64" t="s">
        <v>346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x14ac:dyDescent="0.2">
      <c r="A35" s="226" t="s">
        <v>1076</v>
      </c>
      <c r="B35" s="327">
        <f>'Main Dimensions Calcs'!D69</f>
        <v>20856</v>
      </c>
      <c r="C35" s="64" t="s">
        <v>1077</v>
      </c>
      <c r="D35" s="5"/>
      <c r="E35" s="5"/>
      <c r="F35" s="5"/>
      <c r="G35" s="5"/>
      <c r="H35" s="5"/>
      <c r="I35" s="5"/>
      <c r="J35" s="226" t="s">
        <v>1078</v>
      </c>
      <c r="K35" s="327">
        <f>'Main Dimensions Calcs'!D70</f>
        <v>0</v>
      </c>
      <c r="L35" s="5" t="s">
        <v>1079</v>
      </c>
      <c r="M35" s="5"/>
      <c r="N35" s="5"/>
      <c r="O35" s="5"/>
      <c r="P35" s="5"/>
      <c r="Q35" s="226" t="s">
        <v>1076</v>
      </c>
      <c r="R35" s="265">
        <f>B35/25.4</f>
        <v>821.1023622047245</v>
      </c>
      <c r="S35" s="64" t="s">
        <v>1080</v>
      </c>
      <c r="T35" s="5"/>
      <c r="U35" s="5"/>
      <c r="V35" s="5"/>
      <c r="W35" s="5"/>
      <c r="X35" s="5"/>
      <c r="Y35" s="5"/>
      <c r="Z35" s="226" t="s">
        <v>1078</v>
      </c>
      <c r="AA35" s="265">
        <f>K35/25.4</f>
        <v>0</v>
      </c>
      <c r="AB35" s="64" t="s">
        <v>1081</v>
      </c>
      <c r="AC35" s="5"/>
      <c r="AD35" s="5"/>
      <c r="AE35" s="5"/>
      <c r="AF35" s="5"/>
    </row>
    <row r="36" spans="1:32" x14ac:dyDescent="0.2">
      <c r="A36" s="226" t="s">
        <v>1082</v>
      </c>
      <c r="B36" s="333">
        <f>'Main Dimensions Calcs'!D72</f>
        <v>120</v>
      </c>
      <c r="C36" s="64" t="s">
        <v>1083</v>
      </c>
      <c r="D36" s="5"/>
      <c r="E36" s="5"/>
      <c r="F36" s="5"/>
      <c r="G36" s="5"/>
      <c r="H36" s="5"/>
      <c r="I36" s="5"/>
      <c r="J36" s="226" t="s">
        <v>1084</v>
      </c>
      <c r="K36" s="327">
        <f>'Main Dimensions Calcs'!D71</f>
        <v>0</v>
      </c>
      <c r="L36" s="5" t="s">
        <v>1085</v>
      </c>
      <c r="M36" s="5"/>
      <c r="N36" s="5"/>
      <c r="O36" s="5"/>
      <c r="P36" s="5"/>
      <c r="Q36" s="226" t="s">
        <v>1082</v>
      </c>
      <c r="R36" s="265">
        <f>B36/25.4</f>
        <v>4.7244094488188981</v>
      </c>
      <c r="S36" s="64" t="s">
        <v>1086</v>
      </c>
      <c r="T36" s="5"/>
      <c r="U36" s="5"/>
      <c r="V36" s="5"/>
      <c r="W36" s="5"/>
      <c r="X36" s="5"/>
      <c r="Y36" s="5"/>
      <c r="Z36" s="226" t="s">
        <v>1084</v>
      </c>
      <c r="AA36" s="265">
        <f>K36/25.4</f>
        <v>0</v>
      </c>
      <c r="AB36" s="64" t="s">
        <v>1087</v>
      </c>
      <c r="AC36" s="5"/>
      <c r="AD36" s="5"/>
      <c r="AE36" s="5"/>
      <c r="AF36" s="5"/>
    </row>
    <row r="37" spans="1:32" x14ac:dyDescent="0.2">
      <c r="A37" s="226" t="s">
        <v>1088</v>
      </c>
      <c r="B37" s="327">
        <f>'Main Dimensions Calcs'!D73</f>
        <v>10</v>
      </c>
      <c r="C37" s="64" t="s">
        <v>394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26" t="s">
        <v>1088</v>
      </c>
      <c r="R37" s="265">
        <f>B37/25.4</f>
        <v>0.39370078740157483</v>
      </c>
      <c r="S37" s="64" t="s">
        <v>1089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2">
      <c r="A38" s="226" t="s">
        <v>1090</v>
      </c>
      <c r="B38" s="389">
        <f>K35*K36+B36*B37</f>
        <v>1200</v>
      </c>
      <c r="C38" s="64" t="s">
        <v>395</v>
      </c>
      <c r="D38" s="5"/>
      <c r="E38" s="5"/>
      <c r="F38" s="5"/>
      <c r="G38" s="5"/>
      <c r="H38" s="5"/>
      <c r="I38" s="5"/>
      <c r="J38" s="5"/>
      <c r="K38" s="266" t="str">
        <f>+IF(K35=0, "Wing no needed")</f>
        <v>Wing no needed</v>
      </c>
      <c r="L38" s="5"/>
      <c r="M38" s="5"/>
      <c r="N38" s="5"/>
      <c r="O38" s="5"/>
      <c r="P38" s="5"/>
      <c r="Q38" s="226" t="s">
        <v>1090</v>
      </c>
      <c r="R38" s="447">
        <f>AA35*AA36+R36*R37</f>
        <v>1.8600037200074404</v>
      </c>
      <c r="S38" s="64" t="s">
        <v>1091</v>
      </c>
      <c r="T38" s="5"/>
      <c r="U38" s="5"/>
      <c r="V38" s="5"/>
      <c r="W38" s="5"/>
      <c r="X38" s="5"/>
      <c r="Y38" s="5"/>
      <c r="Z38" s="5"/>
      <c r="AA38" s="64" t="str">
        <f>+IF(AA35=0, "Wing no needed")</f>
        <v>Wing no needed</v>
      </c>
      <c r="AB38" s="5"/>
      <c r="AC38" s="5"/>
      <c r="AD38" s="5"/>
      <c r="AE38" s="5"/>
      <c r="AF38" s="5"/>
    </row>
    <row r="39" spans="1:3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x14ac:dyDescent="0.2">
      <c r="A40" s="994" t="s">
        <v>1092</v>
      </c>
      <c r="B40" s="809"/>
      <c r="C40" s="809"/>
      <c r="D40" s="809"/>
      <c r="E40" s="809"/>
      <c r="F40" s="809"/>
      <c r="G40" s="809"/>
      <c r="H40" s="809"/>
      <c r="I40" s="5"/>
      <c r="J40" s="5"/>
      <c r="K40" s="5"/>
      <c r="L40" s="5"/>
      <c r="M40" s="5"/>
      <c r="N40" s="5"/>
      <c r="O40" s="5"/>
      <c r="P40" s="5"/>
      <c r="Q40" s="994" t="s">
        <v>1092</v>
      </c>
      <c r="R40" s="809"/>
      <c r="S40" s="809"/>
      <c r="T40" s="809"/>
      <c r="U40" s="809"/>
      <c r="V40" s="809"/>
      <c r="W40" s="809"/>
      <c r="X40" s="809"/>
      <c r="Y40" s="5"/>
      <c r="Z40" s="5"/>
      <c r="AA40" s="5"/>
      <c r="AB40" s="5"/>
      <c r="AC40" s="5"/>
      <c r="AD40" s="5"/>
      <c r="AE40" s="5"/>
      <c r="AF40" s="5"/>
    </row>
    <row r="41" spans="1:32" x14ac:dyDescent="0.2">
      <c r="A41" s="809"/>
      <c r="B41" s="809"/>
      <c r="C41" s="809"/>
      <c r="D41" s="809"/>
      <c r="E41" s="809"/>
      <c r="F41" s="809"/>
      <c r="G41" s="809"/>
      <c r="H41" s="809"/>
      <c r="I41" s="5"/>
      <c r="J41" s="5"/>
      <c r="K41" s="5"/>
      <c r="L41" s="5"/>
      <c r="M41" s="5"/>
      <c r="N41" s="5"/>
      <c r="O41" s="5"/>
      <c r="P41" s="5"/>
      <c r="Q41" s="809"/>
      <c r="R41" s="809"/>
      <c r="S41" s="809"/>
      <c r="T41" s="809"/>
      <c r="U41" s="809"/>
      <c r="V41" s="809"/>
      <c r="W41" s="809"/>
      <c r="X41" s="809"/>
      <c r="Y41" s="5"/>
      <c r="Z41" s="5"/>
      <c r="AA41" s="5"/>
      <c r="AB41" s="5"/>
      <c r="AC41" s="5"/>
      <c r="AD41" s="5"/>
      <c r="AE41" s="5"/>
      <c r="AF41" s="5"/>
    </row>
    <row r="42" spans="1:3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x14ac:dyDescent="0.2">
      <c r="A43" s="5" t="s">
        <v>1093</v>
      </c>
      <c r="B43" s="389">
        <f>'Main Dimensions Calcs'!D33</f>
        <v>19400</v>
      </c>
      <c r="C43" s="5" t="s">
        <v>247</v>
      </c>
      <c r="D43" s="64" t="s">
        <v>1094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 t="s">
        <v>1093</v>
      </c>
      <c r="R43" s="265">
        <f>B43/25.4</f>
        <v>763.77952755905517</v>
      </c>
      <c r="S43" s="64" t="s">
        <v>248</v>
      </c>
      <c r="T43" s="64" t="s">
        <v>1094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x14ac:dyDescent="0.2">
      <c r="A44" s="5" t="s">
        <v>1095</v>
      </c>
      <c r="B44" s="389">
        <f>'Main Dimensions Calcs'!D54</f>
        <v>18000</v>
      </c>
      <c r="C44" s="5" t="s">
        <v>247</v>
      </c>
      <c r="D44" s="64" t="s">
        <v>1096</v>
      </c>
      <c r="E44" s="5"/>
      <c r="F44" s="5"/>
      <c r="G44" s="5"/>
      <c r="H44" s="5"/>
      <c r="I44" s="5"/>
      <c r="J44" s="263"/>
      <c r="K44" s="5"/>
      <c r="L44" s="5"/>
      <c r="M44" s="5"/>
      <c r="N44" s="5"/>
      <c r="O44" s="5"/>
      <c r="P44" s="5"/>
      <c r="Q44" s="5" t="s">
        <v>1095</v>
      </c>
      <c r="R44" s="265">
        <f>B44/25.4</f>
        <v>708.66141732283472</v>
      </c>
      <c r="S44" s="64" t="s">
        <v>248</v>
      </c>
      <c r="T44" s="64" t="s">
        <v>1096</v>
      </c>
      <c r="U44" s="5"/>
      <c r="V44" s="5"/>
      <c r="W44" s="5"/>
      <c r="X44" s="5"/>
      <c r="Y44" s="5"/>
      <c r="Z44" s="263"/>
      <c r="AA44" s="5"/>
      <c r="AB44" s="5"/>
      <c r="AC44" s="5"/>
      <c r="AD44" s="5"/>
      <c r="AE44" s="5"/>
      <c r="AF44" s="5"/>
    </row>
    <row r="45" spans="1:32" x14ac:dyDescent="0.2">
      <c r="A45" s="5" t="s">
        <v>1097</v>
      </c>
      <c r="B45" s="332">
        <f>'Inner Tank Compression Ring 1'!B39</f>
        <v>0.82009860894593756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 t="s">
        <v>1097</v>
      </c>
      <c r="R45" s="332">
        <f>B45</f>
        <v>0.82009860894593756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x14ac:dyDescent="0.2">
      <c r="A46" s="5" t="s">
        <v>1098</v>
      </c>
      <c r="B46" s="332">
        <f>(1-B45^2)^0.5</f>
        <v>0.57222222222222219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 t="s">
        <v>1098</v>
      </c>
      <c r="R46" s="332">
        <f>(1-R45^2)^0.5</f>
        <v>0.57222222222222219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x14ac:dyDescent="0.2">
      <c r="A48" s="5" t="s">
        <v>1099</v>
      </c>
      <c r="B48" s="263">
        <f>('Main Dimensions Calcs'!J34-'Main Dimensions Calcs'!E82-'Main Dimensions Calcs'!J17)</f>
        <v>-1000</v>
      </c>
      <c r="C48" s="5" t="s">
        <v>247</v>
      </c>
      <c r="D48" s="901" t="s">
        <v>1100</v>
      </c>
      <c r="E48" s="809"/>
      <c r="F48" s="809"/>
      <c r="G48" s="809"/>
      <c r="H48" s="809"/>
      <c r="I48" s="5"/>
      <c r="J48" s="5"/>
      <c r="K48" s="5"/>
      <c r="L48" s="5"/>
      <c r="M48" s="5"/>
      <c r="N48" s="5"/>
      <c r="O48" s="5"/>
      <c r="P48" s="5"/>
      <c r="Q48" s="5" t="s">
        <v>1099</v>
      </c>
      <c r="R48" s="265">
        <f>B48/25.4</f>
        <v>-39.370078740157481</v>
      </c>
      <c r="S48" s="64" t="s">
        <v>248</v>
      </c>
      <c r="T48" s="901" t="s">
        <v>1100</v>
      </c>
      <c r="U48" s="809"/>
      <c r="V48" s="809"/>
      <c r="W48" s="809"/>
      <c r="X48" s="809"/>
      <c r="Y48" s="5"/>
      <c r="Z48" s="5"/>
      <c r="AA48" s="5"/>
      <c r="AB48" s="5"/>
      <c r="AC48" s="5"/>
      <c r="AD48" s="5"/>
      <c r="AE48" s="5"/>
      <c r="AF48" s="5"/>
    </row>
    <row r="49" spans="1:32" x14ac:dyDescent="0.2">
      <c r="A49" s="5"/>
      <c r="B49" s="5"/>
      <c r="C49" s="5"/>
      <c r="D49" s="809"/>
      <c r="E49" s="809"/>
      <c r="F49" s="809"/>
      <c r="G49" s="809"/>
      <c r="H49" s="80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809"/>
      <c r="U49" s="809"/>
      <c r="V49" s="809"/>
      <c r="W49" s="809"/>
      <c r="X49" s="809"/>
      <c r="Y49" s="5"/>
      <c r="Z49" s="5"/>
      <c r="AA49" s="5"/>
      <c r="AB49" s="5"/>
      <c r="AC49" s="5"/>
      <c r="AD49" s="5"/>
      <c r="AE49" s="5"/>
      <c r="AF49" s="5"/>
    </row>
    <row r="50" spans="1:32" x14ac:dyDescent="0.2">
      <c r="A50" s="5" t="s">
        <v>1101</v>
      </c>
      <c r="B50" s="263">
        <f>(B48-B46)/2</f>
        <v>-500.2861111111111</v>
      </c>
      <c r="C50" s="5" t="s">
        <v>247</v>
      </c>
      <c r="D50" s="64" t="s">
        <v>1102</v>
      </c>
      <c r="E50" s="263"/>
      <c r="F50" s="5"/>
      <c r="G50" s="5"/>
      <c r="H50" s="263"/>
      <c r="I50" s="5"/>
      <c r="J50" s="5"/>
      <c r="K50" s="5"/>
      <c r="L50" s="5"/>
      <c r="M50" s="5"/>
      <c r="N50" s="5"/>
      <c r="O50" s="5"/>
      <c r="P50" s="5"/>
      <c r="Q50" s="5" t="s">
        <v>1101</v>
      </c>
      <c r="R50" s="265">
        <f>B50/25.4</f>
        <v>-19.69630358705162</v>
      </c>
      <c r="S50" s="64" t="s">
        <v>248</v>
      </c>
      <c r="T50" s="64" t="s">
        <v>1102</v>
      </c>
      <c r="U50" s="263"/>
      <c r="V50" s="5"/>
      <c r="W50" s="5"/>
      <c r="X50" s="263"/>
      <c r="Y50" s="5"/>
      <c r="Z50" s="5"/>
      <c r="AA50" s="5"/>
      <c r="AB50" s="5"/>
      <c r="AC50" s="5"/>
      <c r="AD50" s="5"/>
      <c r="AE50" s="5"/>
      <c r="AF50" s="5"/>
    </row>
    <row r="51" spans="1:32" x14ac:dyDescent="0.2">
      <c r="A51" s="5" t="s">
        <v>1103</v>
      </c>
      <c r="B51" s="263">
        <f>B50+B20+B48</f>
        <v>5999.7138888888885</v>
      </c>
      <c r="C51" s="5" t="s">
        <v>247</v>
      </c>
      <c r="D51" s="64" t="s">
        <v>1104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 t="s">
        <v>1103</v>
      </c>
      <c r="R51" s="265">
        <f>B51/25.4</f>
        <v>236.20920822397201</v>
      </c>
      <c r="S51" s="64" t="s">
        <v>248</v>
      </c>
      <c r="T51" s="64" t="s">
        <v>1104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18" t="s">
        <v>1105</v>
      </c>
      <c r="R53" s="5"/>
      <c r="S53" s="285"/>
      <c r="T53" s="448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x14ac:dyDescent="0.2">
      <c r="A55" s="118" t="s">
        <v>1105</v>
      </c>
      <c r="B55" s="5"/>
      <c r="C55" s="285"/>
      <c r="D55" s="44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 t="s">
        <v>1106</v>
      </c>
      <c r="R55" s="449">
        <f>B57*145.04</f>
        <v>7.2520000000000001E-2</v>
      </c>
      <c r="S55" s="170" t="s">
        <v>926</v>
      </c>
      <c r="T55" s="64" t="s">
        <v>1107</v>
      </c>
      <c r="U55" s="5"/>
      <c r="V55" s="64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 t="s">
        <v>1108</v>
      </c>
      <c r="R56" s="449">
        <f>B58*145.04</f>
        <v>0.14504</v>
      </c>
      <c r="S56" s="170" t="s">
        <v>926</v>
      </c>
      <c r="T56" s="64" t="s">
        <v>1109</v>
      </c>
      <c r="U56" s="5"/>
      <c r="V56" s="64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x14ac:dyDescent="0.2">
      <c r="A57" s="433" t="s">
        <v>1106</v>
      </c>
      <c r="B57" s="367">
        <f>+'Design Conditions'!G22/10</f>
        <v>5.0000000000000001E-4</v>
      </c>
      <c r="C57" s="450" t="s">
        <v>925</v>
      </c>
      <c r="D57" s="366" t="s">
        <v>1110</v>
      </c>
      <c r="E57" s="433"/>
      <c r="F57" s="433"/>
      <c r="G57" s="433"/>
      <c r="H57" s="433"/>
      <c r="I57" s="5"/>
      <c r="J57" s="5"/>
      <c r="K57" s="5"/>
      <c r="L57" s="5"/>
      <c r="M57" s="5"/>
      <c r="N57" s="5"/>
      <c r="O57" s="5"/>
      <c r="P57" s="5"/>
      <c r="Q57" s="5" t="s">
        <v>969</v>
      </c>
      <c r="R57" s="439">
        <v>0.69440000000000002</v>
      </c>
      <c r="S57" s="170" t="s">
        <v>926</v>
      </c>
      <c r="T57" s="64" t="s">
        <v>1111</v>
      </c>
      <c r="U57" s="14"/>
      <c r="V57" s="64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x14ac:dyDescent="0.2">
      <c r="A58" s="433" t="s">
        <v>1108</v>
      </c>
      <c r="B58" s="367">
        <f>(+'Design Conditions'!G23/10)</f>
        <v>1E-3</v>
      </c>
      <c r="C58" s="450" t="s">
        <v>925</v>
      </c>
      <c r="D58" s="366" t="s">
        <v>1109</v>
      </c>
      <c r="E58" s="433"/>
      <c r="F58" s="433"/>
      <c r="G58" s="433"/>
      <c r="H58" s="433"/>
      <c r="I58" s="5"/>
      <c r="J58" s="5"/>
      <c r="K58" s="5"/>
      <c r="L58" s="5"/>
      <c r="M58" s="5"/>
      <c r="N58" s="5"/>
      <c r="O58" s="5"/>
      <c r="P58" s="5"/>
      <c r="Q58" s="226" t="s">
        <v>1112</v>
      </c>
      <c r="R58" s="449">
        <f>SUM(R55:R57)</f>
        <v>0.91195999999999999</v>
      </c>
      <c r="S58" s="170" t="s">
        <v>926</v>
      </c>
      <c r="T58" s="64" t="s">
        <v>1113</v>
      </c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ht="13.5" customHeight="1" thickBot="1" x14ac:dyDescent="0.25">
      <c r="A59" s="433" t="s">
        <v>969</v>
      </c>
      <c r="B59" s="366">
        <f>0.0479/10</f>
        <v>4.79E-3</v>
      </c>
      <c r="C59" s="450" t="s">
        <v>925</v>
      </c>
      <c r="D59" s="366" t="s">
        <v>1114</v>
      </c>
      <c r="E59" s="450"/>
      <c r="F59" s="433"/>
      <c r="G59" s="433"/>
      <c r="H59" s="433"/>
      <c r="I59" s="64"/>
      <c r="J59" s="6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ht="16.5" customHeight="1" thickBot="1" x14ac:dyDescent="0.3">
      <c r="A60" s="433"/>
      <c r="B60" s="433"/>
      <c r="C60" s="433"/>
      <c r="D60" s="433"/>
      <c r="E60" s="433"/>
      <c r="F60" s="433"/>
      <c r="G60" s="433"/>
      <c r="H60" s="433"/>
      <c r="I60" s="5"/>
      <c r="J60" s="5"/>
      <c r="K60" s="5"/>
      <c r="L60" s="5"/>
      <c r="M60" s="5"/>
      <c r="N60" s="5"/>
      <c r="O60" s="5"/>
      <c r="P60" s="5"/>
      <c r="Q60" s="995"/>
      <c r="R60" s="848"/>
      <c r="S60" s="849"/>
      <c r="T60" s="997" t="str">
        <f>'Front Page'!$A$13</f>
        <v>Mechanical  Calculations</v>
      </c>
      <c r="U60" s="831"/>
      <c r="V60" s="831"/>
      <c r="W60" s="831"/>
      <c r="X60" s="832"/>
      <c r="Y60" s="5"/>
      <c r="Z60" s="5"/>
      <c r="AA60" s="5"/>
      <c r="AB60" s="5"/>
      <c r="AC60" s="5"/>
      <c r="AD60" s="5"/>
      <c r="AE60" s="5"/>
      <c r="AF60" s="5"/>
    </row>
    <row r="61" spans="1:32" ht="16.5" customHeight="1" thickBot="1" x14ac:dyDescent="0.3">
      <c r="A61" s="451" t="s">
        <v>1112</v>
      </c>
      <c r="B61" s="433">
        <f>SUM(B57:B60)</f>
        <v>6.2900000000000005E-3</v>
      </c>
      <c r="C61" s="450" t="s">
        <v>925</v>
      </c>
      <c r="D61" s="366" t="s">
        <v>1113</v>
      </c>
      <c r="E61" s="433"/>
      <c r="F61" s="433"/>
      <c r="G61" s="433"/>
      <c r="H61" s="433"/>
      <c r="I61" s="5"/>
      <c r="J61" s="5"/>
      <c r="K61" s="5"/>
      <c r="L61" s="5"/>
      <c r="M61" s="5"/>
      <c r="N61" s="5"/>
      <c r="O61" s="5"/>
      <c r="P61" s="5"/>
      <c r="Q61" s="866"/>
      <c r="R61" s="809"/>
      <c r="S61" s="989"/>
      <c r="T61" s="997">
        <f>'Front Page'!$A$21</f>
        <v>0</v>
      </c>
      <c r="U61" s="831"/>
      <c r="V61" s="831"/>
      <c r="W61" s="831"/>
      <c r="X61" s="832"/>
      <c r="Y61" s="5"/>
      <c r="Z61" s="5"/>
      <c r="AA61" s="5"/>
      <c r="AB61" s="5"/>
      <c r="AC61" s="5"/>
      <c r="AD61" s="5"/>
      <c r="AE61" s="5"/>
      <c r="AF61" s="5"/>
    </row>
    <row r="62" spans="1:32" ht="17.25" customHeight="1" thickTop="1" thickBot="1" x14ac:dyDescent="0.3">
      <c r="A62" s="988"/>
      <c r="B62" s="823"/>
      <c r="C62" s="871"/>
      <c r="D62" s="934" t="str">
        <f>'Front Page'!$A$13</f>
        <v>Mechanical  Calculations</v>
      </c>
      <c r="E62" s="842"/>
      <c r="F62" s="842"/>
      <c r="G62" s="842"/>
      <c r="H62" s="859"/>
      <c r="I62" s="5"/>
      <c r="J62" s="5"/>
      <c r="K62" s="5"/>
      <c r="L62" s="5"/>
      <c r="M62" s="5"/>
      <c r="N62" s="5"/>
      <c r="O62" s="5"/>
      <c r="P62" s="5"/>
      <c r="Q62" s="866"/>
      <c r="R62" s="809"/>
      <c r="S62" s="989"/>
      <c r="T62" s="996" t="s">
        <v>1042</v>
      </c>
      <c r="U62" s="834"/>
      <c r="V62" s="834"/>
      <c r="W62" s="834"/>
      <c r="X62" s="835"/>
      <c r="Y62" s="5"/>
      <c r="Z62" s="5"/>
      <c r="AA62" s="5"/>
      <c r="AB62" s="5"/>
      <c r="AC62" s="5"/>
      <c r="AD62" s="5"/>
      <c r="AE62" s="5"/>
      <c r="AF62" s="5"/>
    </row>
    <row r="63" spans="1:32" ht="17.25" customHeight="1" thickTop="1" thickBot="1" x14ac:dyDescent="0.3">
      <c r="A63" s="825"/>
      <c r="B63" s="809"/>
      <c r="C63" s="989"/>
      <c r="D63" s="984"/>
      <c r="E63" s="831"/>
      <c r="F63" s="831"/>
      <c r="G63" s="831"/>
      <c r="H63" s="854"/>
      <c r="I63" s="5"/>
      <c r="J63" s="5"/>
      <c r="K63" s="5"/>
      <c r="L63" s="5"/>
      <c r="M63" s="5"/>
      <c r="N63" s="5"/>
      <c r="O63" s="5"/>
      <c r="P63" s="5"/>
      <c r="Q63" s="968"/>
      <c r="R63" s="848"/>
      <c r="S63" s="865"/>
      <c r="T63" s="385" t="str">
        <f>'Front Page'!$D$4</f>
        <v>Doc Nº</v>
      </c>
      <c r="U63" s="980"/>
      <c r="V63" s="843"/>
      <c r="W63" s="980"/>
      <c r="X63" s="843"/>
      <c r="Y63" s="5"/>
      <c r="Z63" s="5"/>
      <c r="AA63" s="5"/>
      <c r="AB63" s="5"/>
      <c r="AC63" s="5"/>
      <c r="AD63" s="5"/>
      <c r="AE63" s="5"/>
      <c r="AF63" s="5"/>
    </row>
    <row r="64" spans="1:32" ht="16.5" customHeight="1" thickBot="1" x14ac:dyDescent="0.3">
      <c r="A64" s="827"/>
      <c r="B64" s="828"/>
      <c r="C64" s="857"/>
      <c r="D64" s="985" t="s">
        <v>1042</v>
      </c>
      <c r="E64" s="834"/>
      <c r="F64" s="834"/>
      <c r="G64" s="834"/>
      <c r="H64" s="986"/>
      <c r="I64" s="5"/>
      <c r="J64" s="5"/>
      <c r="K64" s="5"/>
      <c r="L64" s="5"/>
      <c r="M64" s="5"/>
      <c r="N64" s="5"/>
      <c r="O64" s="5"/>
      <c r="P64" s="5"/>
      <c r="Q64" s="990"/>
      <c r="R64" s="828"/>
      <c r="S64" s="829"/>
      <c r="T64" s="452" t="str">
        <f>'Front Page'!$D$5</f>
        <v>Project</v>
      </c>
      <c r="U64" s="846"/>
      <c r="V64" s="832"/>
      <c r="W64" s="320" t="s">
        <v>5</v>
      </c>
      <c r="X64" s="11"/>
      <c r="Y64" s="5"/>
      <c r="Z64" s="5"/>
      <c r="AA64" s="5"/>
      <c r="AB64" s="5"/>
      <c r="AC64" s="5"/>
      <c r="AD64" s="5"/>
      <c r="AE64" s="5"/>
      <c r="AF64" s="5"/>
    </row>
    <row r="65" spans="1:32" ht="16.5" customHeight="1" thickTop="1" thickBot="1" x14ac:dyDescent="0.3">
      <c r="A65" s="873"/>
      <c r="B65" s="848"/>
      <c r="C65" s="865"/>
      <c r="D65" s="385" t="str">
        <f>'Front Page'!$D$4</f>
        <v>Doc Nº</v>
      </c>
      <c r="E65" s="980"/>
      <c r="F65" s="843"/>
      <c r="G65" s="980"/>
      <c r="H65" s="84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5.75" customHeight="1" thickBot="1" x14ac:dyDescent="0.3">
      <c r="A66" s="860"/>
      <c r="B66" s="851"/>
      <c r="C66" s="861"/>
      <c r="D66" s="386" t="str">
        <f>'Front Page'!$D$5</f>
        <v>Project</v>
      </c>
      <c r="E66" s="899"/>
      <c r="F66" s="835"/>
      <c r="G66" s="131" t="s">
        <v>5</v>
      </c>
      <c r="H66" s="13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ht="13.5" customHeight="1" thickTop="1" x14ac:dyDescent="0.2">
      <c r="A67" s="4"/>
      <c r="B67" s="4"/>
      <c r="C67" s="4"/>
      <c r="D67" s="4"/>
      <c r="E67" s="4"/>
      <c r="F67" s="4"/>
      <c r="G67" s="4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x14ac:dyDescent="0.2">
      <c r="A68" s="118" t="s">
        <v>1115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18" t="s">
        <v>1115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x14ac:dyDescent="0.2">
      <c r="A69" s="11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18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x14ac:dyDescent="0.2">
      <c r="A70" s="5"/>
      <c r="B70" s="5"/>
      <c r="C70" s="5"/>
      <c r="D70" s="5"/>
      <c r="E70" s="5" t="s">
        <v>1116</v>
      </c>
      <c r="F70" s="5" t="s">
        <v>1117</v>
      </c>
      <c r="G70" s="5" t="s">
        <v>895</v>
      </c>
      <c r="H70" s="5" t="s">
        <v>1118</v>
      </c>
      <c r="I70" s="5" t="s">
        <v>1119</v>
      </c>
      <c r="J70" s="5"/>
      <c r="K70" s="5"/>
      <c r="L70" s="5"/>
      <c r="M70" s="5"/>
      <c r="N70" s="5"/>
      <c r="O70" s="5"/>
      <c r="P70" s="5"/>
      <c r="Q70" s="5"/>
      <c r="R70" s="5" t="s">
        <v>1116</v>
      </c>
      <c r="S70" s="64" t="s">
        <v>1120</v>
      </c>
      <c r="T70" s="64" t="s">
        <v>1121</v>
      </c>
      <c r="U70" s="64" t="s">
        <v>1122</v>
      </c>
      <c r="V70" s="64" t="s">
        <v>1123</v>
      </c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x14ac:dyDescent="0.2">
      <c r="A71" s="226" t="s">
        <v>1124</v>
      </c>
      <c r="B71" s="453">
        <f t="shared" ref="B71:B84" si="0">I71</f>
        <v>6.2900000000000005E-3</v>
      </c>
      <c r="C71" s="14" t="s">
        <v>925</v>
      </c>
      <c r="D71" s="5"/>
      <c r="E71" s="5">
        <v>1</v>
      </c>
      <c r="F71" s="5">
        <f>B21*B28*B30/1000*9.8/1000000</f>
        <v>5.7814092852401643E-3</v>
      </c>
      <c r="G71" s="5">
        <f t="shared" ref="G71:G84" si="1">$B$57-$B$58</f>
        <v>-5.0000000000000001E-4</v>
      </c>
      <c r="H71" s="5">
        <f t="shared" ref="H71:H84" si="2">$B$61</f>
        <v>6.2900000000000005E-3</v>
      </c>
      <c r="I71" s="5">
        <f t="shared" ref="I71:I84" si="3">MAX(H71,G71+F71)</f>
        <v>6.2900000000000005E-3</v>
      </c>
      <c r="J71" s="5"/>
      <c r="K71" s="5"/>
      <c r="L71" s="5"/>
      <c r="M71" s="5"/>
      <c r="N71" s="5"/>
      <c r="O71" s="5"/>
      <c r="P71" s="5"/>
      <c r="Q71" s="226"/>
      <c r="R71" s="5">
        <v>1</v>
      </c>
      <c r="S71" s="426">
        <f t="shared" ref="S71:S83" si="4">F71*145.04</f>
        <v>0.8385356027312334</v>
      </c>
      <c r="T71" s="426">
        <f t="shared" ref="T71:T83" si="5">G71*145.04</f>
        <v>-7.2520000000000001E-2</v>
      </c>
      <c r="U71" s="426">
        <f t="shared" ref="U71:U83" si="6">H71*145.04</f>
        <v>0.91230160000000005</v>
      </c>
      <c r="V71" s="426">
        <f t="shared" ref="V71:V83" si="7">I71*145.04</f>
        <v>0.91230160000000005</v>
      </c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x14ac:dyDescent="0.2">
      <c r="A72" s="226" t="s">
        <v>1125</v>
      </c>
      <c r="B72" s="453">
        <f t="shared" si="0"/>
        <v>6.2900000000000005E-3</v>
      </c>
      <c r="C72" s="14" t="s">
        <v>925</v>
      </c>
      <c r="D72" s="5"/>
      <c r="E72" s="5">
        <f t="shared" ref="E72:E84" si="8">1-EXP(-($B$51-E90)/$B$30)</f>
        <v>0.23230058012263233</v>
      </c>
      <c r="F72" s="5">
        <f t="shared" ref="F72:F84" si="9">$F$71*E72</f>
        <v>1.3430247308876633E-3</v>
      </c>
      <c r="G72" s="5">
        <f t="shared" si="1"/>
        <v>-5.0000000000000001E-4</v>
      </c>
      <c r="H72" s="5">
        <f t="shared" si="2"/>
        <v>6.2900000000000005E-3</v>
      </c>
      <c r="I72" s="5">
        <f t="shared" si="3"/>
        <v>6.2900000000000005E-3</v>
      </c>
      <c r="J72" s="5"/>
      <c r="K72" s="5"/>
      <c r="L72" s="5"/>
      <c r="M72" s="5"/>
      <c r="N72" s="5"/>
      <c r="O72" s="5"/>
      <c r="P72" s="5"/>
      <c r="Q72" s="226"/>
      <c r="R72" s="5">
        <f t="shared" ref="R72:R83" si="10">1-EXP(-($B$51-U90)/$B$30)</f>
        <v>0.27952754811429892</v>
      </c>
      <c r="S72" s="426">
        <f t="shared" si="4"/>
        <v>0.19479230696794667</v>
      </c>
      <c r="T72" s="426">
        <f t="shared" si="5"/>
        <v>-7.2520000000000001E-2</v>
      </c>
      <c r="U72" s="426">
        <f t="shared" si="6"/>
        <v>0.91230160000000005</v>
      </c>
      <c r="V72" s="426">
        <f t="shared" si="7"/>
        <v>0.91230160000000005</v>
      </c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x14ac:dyDescent="0.2">
      <c r="A73" s="226" t="s">
        <v>1126</v>
      </c>
      <c r="B73" s="453">
        <f t="shared" si="0"/>
        <v>6.2900000000000005E-3</v>
      </c>
      <c r="C73" s="14" t="s">
        <v>925</v>
      </c>
      <c r="D73" s="5"/>
      <c r="E73" s="5">
        <f t="shared" si="8"/>
        <v>0.17984654216047402</v>
      </c>
      <c r="F73" s="5">
        <f t="shared" si="9"/>
        <v>1.0397664687649012E-3</v>
      </c>
      <c r="G73" s="5">
        <f t="shared" si="1"/>
        <v>-5.0000000000000001E-4</v>
      </c>
      <c r="H73" s="5">
        <f t="shared" si="2"/>
        <v>6.2900000000000005E-3</v>
      </c>
      <c r="I73" s="5">
        <f t="shared" si="3"/>
        <v>6.2900000000000005E-3</v>
      </c>
      <c r="J73" s="5"/>
      <c r="K73" s="5"/>
      <c r="L73" s="5"/>
      <c r="M73" s="5"/>
      <c r="N73" s="5"/>
      <c r="O73" s="5"/>
      <c r="P73" s="5"/>
      <c r="Q73" s="226"/>
      <c r="R73" s="5">
        <f t="shared" si="10"/>
        <v>0.27765036975571855</v>
      </c>
      <c r="S73" s="426">
        <f t="shared" si="4"/>
        <v>0.15080772862966124</v>
      </c>
      <c r="T73" s="426">
        <f t="shared" si="5"/>
        <v>-7.2520000000000001E-2</v>
      </c>
      <c r="U73" s="426">
        <f t="shared" si="6"/>
        <v>0.91230160000000005</v>
      </c>
      <c r="V73" s="426">
        <f t="shared" si="7"/>
        <v>0.91230160000000005</v>
      </c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x14ac:dyDescent="0.2">
      <c r="A74" s="226" t="s">
        <v>1127</v>
      </c>
      <c r="B74" s="453">
        <f t="shared" si="0"/>
        <v>6.2900000000000005E-3</v>
      </c>
      <c r="C74" s="14" t="s">
        <v>925</v>
      </c>
      <c r="D74" s="5"/>
      <c r="E74" s="5">
        <f t="shared" si="8"/>
        <v>0.12380851542967108</v>
      </c>
      <c r="F74" s="5">
        <f t="shared" si="9"/>
        <v>7.1578770069690052E-4</v>
      </c>
      <c r="G74" s="5">
        <f t="shared" si="1"/>
        <v>-5.0000000000000001E-4</v>
      </c>
      <c r="H74" s="5">
        <f t="shared" si="2"/>
        <v>6.2900000000000005E-3</v>
      </c>
      <c r="I74" s="5">
        <f t="shared" si="3"/>
        <v>6.2900000000000005E-3</v>
      </c>
      <c r="J74" s="5"/>
      <c r="K74" s="5"/>
      <c r="L74" s="5"/>
      <c r="M74" s="5"/>
      <c r="N74" s="5"/>
      <c r="O74" s="5"/>
      <c r="P74" s="5"/>
      <c r="Q74" s="226"/>
      <c r="R74" s="5">
        <f t="shared" si="10"/>
        <v>0.27576830044179257</v>
      </c>
      <c r="S74" s="426">
        <f t="shared" si="4"/>
        <v>0.10381784810907844</v>
      </c>
      <c r="T74" s="426">
        <f t="shared" si="5"/>
        <v>-7.2520000000000001E-2</v>
      </c>
      <c r="U74" s="426">
        <f t="shared" si="6"/>
        <v>0.91230160000000005</v>
      </c>
      <c r="V74" s="426">
        <f t="shared" si="7"/>
        <v>0.91230160000000005</v>
      </c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x14ac:dyDescent="0.2">
      <c r="A75" s="226" t="s">
        <v>1128</v>
      </c>
      <c r="B75" s="453">
        <f t="shared" si="0"/>
        <v>6.2900000000000005E-3</v>
      </c>
      <c r="C75" s="14" t="s">
        <v>925</v>
      </c>
      <c r="D75" s="5"/>
      <c r="E75" s="5">
        <f t="shared" si="8"/>
        <v>7.4196216511197011E-2</v>
      </c>
      <c r="F75" s="5">
        <f t="shared" si="9"/>
        <v>4.28958695067524E-4</v>
      </c>
      <c r="G75" s="5">
        <f t="shared" si="1"/>
        <v>-5.0000000000000001E-4</v>
      </c>
      <c r="H75" s="5">
        <f t="shared" si="2"/>
        <v>6.2900000000000005E-3</v>
      </c>
      <c r="I75" s="5">
        <f t="shared" si="3"/>
        <v>6.2900000000000005E-3</v>
      </c>
      <c r="J75" s="5"/>
      <c r="K75" s="5"/>
      <c r="L75" s="5"/>
      <c r="M75" s="5"/>
      <c r="N75" s="5"/>
      <c r="O75" s="5"/>
      <c r="P75" s="5"/>
      <c r="Q75" s="226"/>
      <c r="R75" s="5">
        <f t="shared" si="10"/>
        <v>0.27419616400774649</v>
      </c>
      <c r="S75" s="426">
        <f t="shared" si="4"/>
        <v>6.2216169132593681E-2</v>
      </c>
      <c r="T75" s="426">
        <f t="shared" si="5"/>
        <v>-7.2520000000000001E-2</v>
      </c>
      <c r="U75" s="426">
        <f t="shared" si="6"/>
        <v>0.91230160000000005</v>
      </c>
      <c r="V75" s="426">
        <f t="shared" si="7"/>
        <v>0.91230160000000005</v>
      </c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x14ac:dyDescent="0.2">
      <c r="A76" s="226" t="s">
        <v>1129</v>
      </c>
      <c r="B76" s="453">
        <f t="shared" si="0"/>
        <v>6.2900000000000005E-3</v>
      </c>
      <c r="C76" s="14" t="s">
        <v>925</v>
      </c>
      <c r="D76" s="5"/>
      <c r="E76" s="5">
        <f t="shared" si="8"/>
        <v>2.1774736897268943E-2</v>
      </c>
      <c r="F76" s="5">
        <f t="shared" si="9"/>
        <v>1.2588866608153227E-4</v>
      </c>
      <c r="G76" s="5">
        <f t="shared" si="1"/>
        <v>-5.0000000000000001E-4</v>
      </c>
      <c r="H76" s="5">
        <f t="shared" si="2"/>
        <v>6.2900000000000005E-3</v>
      </c>
      <c r="I76" s="5">
        <f t="shared" si="3"/>
        <v>6.2900000000000005E-3</v>
      </c>
      <c r="J76" s="5"/>
      <c r="K76" s="5"/>
      <c r="L76" s="5"/>
      <c r="M76" s="5"/>
      <c r="N76" s="5"/>
      <c r="O76" s="5"/>
      <c r="P76" s="5"/>
      <c r="Q76" s="226"/>
      <c r="R76" s="5">
        <f t="shared" si="10"/>
        <v>0.27262061483580358</v>
      </c>
      <c r="S76" s="426">
        <f t="shared" si="4"/>
        <v>1.8258892128465438E-2</v>
      </c>
      <c r="T76" s="426">
        <f t="shared" si="5"/>
        <v>-7.2520000000000001E-2</v>
      </c>
      <c r="U76" s="426">
        <f t="shared" si="6"/>
        <v>0.91230160000000005</v>
      </c>
      <c r="V76" s="426">
        <f t="shared" si="7"/>
        <v>0.91230160000000005</v>
      </c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x14ac:dyDescent="0.2">
      <c r="A77" s="226" t="s">
        <v>1130</v>
      </c>
      <c r="B77" s="453">
        <f t="shared" si="0"/>
        <v>6.2900000000000005E-3</v>
      </c>
      <c r="C77" s="14" t="s">
        <v>925</v>
      </c>
      <c r="D77" s="5"/>
      <c r="E77" s="5">
        <f t="shared" si="8"/>
        <v>-4.5063746704202989E-2</v>
      </c>
      <c r="F77" s="5">
        <f t="shared" si="9"/>
        <v>-2.6053196362339E-4</v>
      </c>
      <c r="G77" s="5">
        <f t="shared" si="1"/>
        <v>-5.0000000000000001E-4</v>
      </c>
      <c r="H77" s="5">
        <f t="shared" si="2"/>
        <v>6.2900000000000005E-3</v>
      </c>
      <c r="I77" s="5">
        <f t="shared" si="3"/>
        <v>6.2900000000000005E-3</v>
      </c>
      <c r="J77" s="5"/>
      <c r="K77" s="5"/>
      <c r="L77" s="5"/>
      <c r="M77" s="5"/>
      <c r="N77" s="5"/>
      <c r="O77" s="5"/>
      <c r="P77" s="5"/>
      <c r="Q77" s="226"/>
      <c r="R77" s="5">
        <f t="shared" si="10"/>
        <v>0.27072544058350012</v>
      </c>
      <c r="S77" s="426">
        <f t="shared" si="4"/>
        <v>-3.7787556003936483E-2</v>
      </c>
      <c r="T77" s="426">
        <f t="shared" si="5"/>
        <v>-7.2520000000000001E-2</v>
      </c>
      <c r="U77" s="426">
        <f t="shared" si="6"/>
        <v>0.91230160000000005</v>
      </c>
      <c r="V77" s="426">
        <f t="shared" si="7"/>
        <v>0.91230160000000005</v>
      </c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x14ac:dyDescent="0.2">
      <c r="A78" s="226" t="s">
        <v>1131</v>
      </c>
      <c r="B78" s="453">
        <f t="shared" si="0"/>
        <v>6.2900000000000005E-3</v>
      </c>
      <c r="C78" s="14" t="s">
        <v>925</v>
      </c>
      <c r="D78" s="5"/>
      <c r="E78" s="5">
        <f t="shared" si="8"/>
        <v>-0.11646905459313461</v>
      </c>
      <c r="F78" s="5">
        <f t="shared" si="9"/>
        <v>-6.7335527366789211E-4</v>
      </c>
      <c r="G78" s="5">
        <f t="shared" si="1"/>
        <v>-5.0000000000000001E-4</v>
      </c>
      <c r="H78" s="5">
        <f t="shared" si="2"/>
        <v>6.2900000000000005E-3</v>
      </c>
      <c r="I78" s="5">
        <f t="shared" si="3"/>
        <v>6.2900000000000005E-3</v>
      </c>
      <c r="J78" s="5"/>
      <c r="K78" s="5"/>
      <c r="L78" s="5"/>
      <c r="M78" s="5"/>
      <c r="N78" s="5"/>
      <c r="O78" s="5"/>
      <c r="P78" s="5"/>
      <c r="Q78" s="226"/>
      <c r="R78" s="5">
        <f t="shared" si="10"/>
        <v>0.268825328487865</v>
      </c>
      <c r="S78" s="426">
        <f t="shared" si="4"/>
        <v>-9.7663448892791063E-2</v>
      </c>
      <c r="T78" s="426">
        <f t="shared" si="5"/>
        <v>-7.2520000000000001E-2</v>
      </c>
      <c r="U78" s="426">
        <f t="shared" si="6"/>
        <v>0.91230160000000005</v>
      </c>
      <c r="V78" s="426">
        <f t="shared" si="7"/>
        <v>0.91230160000000005</v>
      </c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x14ac:dyDescent="0.2">
      <c r="A79" s="226" t="s">
        <v>1132</v>
      </c>
      <c r="B79" s="453">
        <f t="shared" si="0"/>
        <v>6.2900000000000005E-3</v>
      </c>
      <c r="C79" s="14" t="s">
        <v>925</v>
      </c>
      <c r="D79" s="5"/>
      <c r="E79" s="5">
        <f t="shared" si="8"/>
        <v>0.28139984822771602</v>
      </c>
      <c r="F79" s="5">
        <f t="shared" si="9"/>
        <v>1.6268876954088904E-3</v>
      </c>
      <c r="G79" s="5">
        <f t="shared" si="1"/>
        <v>-5.0000000000000001E-4</v>
      </c>
      <c r="H79" s="5">
        <f t="shared" si="2"/>
        <v>6.2900000000000005E-3</v>
      </c>
      <c r="I79" s="5">
        <f t="shared" si="3"/>
        <v>6.2900000000000005E-3</v>
      </c>
      <c r="J79" s="5"/>
      <c r="K79" s="5"/>
      <c r="L79" s="5"/>
      <c r="M79" s="5"/>
      <c r="N79" s="5"/>
      <c r="O79" s="5"/>
      <c r="P79" s="5"/>
      <c r="Q79" s="226"/>
      <c r="R79" s="5">
        <f t="shared" si="10"/>
        <v>0.28139984822771602</v>
      </c>
      <c r="S79" s="426">
        <f t="shared" si="4"/>
        <v>0.23596379134210546</v>
      </c>
      <c r="T79" s="426">
        <f t="shared" si="5"/>
        <v>-7.2520000000000001E-2</v>
      </c>
      <c r="U79" s="426">
        <f t="shared" si="6"/>
        <v>0.91230160000000005</v>
      </c>
      <c r="V79" s="426">
        <f t="shared" si="7"/>
        <v>0.91230160000000005</v>
      </c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x14ac:dyDescent="0.2">
      <c r="A80" s="341" t="s">
        <v>1133</v>
      </c>
      <c r="B80" s="453">
        <f t="shared" si="0"/>
        <v>6.2900000000000005E-3</v>
      </c>
      <c r="C80" s="14" t="s">
        <v>925</v>
      </c>
      <c r="D80" s="5"/>
      <c r="E80" s="5">
        <f t="shared" si="8"/>
        <v>0.28139984822771602</v>
      </c>
      <c r="F80" s="5">
        <f t="shared" si="9"/>
        <v>1.6268876954088904E-3</v>
      </c>
      <c r="G80" s="5">
        <f t="shared" si="1"/>
        <v>-5.0000000000000001E-4</v>
      </c>
      <c r="H80" s="5">
        <f t="shared" si="2"/>
        <v>6.2900000000000005E-3</v>
      </c>
      <c r="I80" s="5">
        <f t="shared" si="3"/>
        <v>6.2900000000000005E-3</v>
      </c>
      <c r="J80" s="5"/>
      <c r="K80" s="5"/>
      <c r="L80" s="5"/>
      <c r="M80" s="5"/>
      <c r="N80" s="5"/>
      <c r="O80" s="5"/>
      <c r="P80" s="5"/>
      <c r="Q80" s="341"/>
      <c r="R80" s="5">
        <f t="shared" si="10"/>
        <v>0.28139984822771602</v>
      </c>
      <c r="S80" s="426">
        <f t="shared" si="4"/>
        <v>0.23596379134210546</v>
      </c>
      <c r="T80" s="426">
        <f t="shared" si="5"/>
        <v>-7.2520000000000001E-2</v>
      </c>
      <c r="U80" s="426">
        <f t="shared" si="6"/>
        <v>0.91230160000000005</v>
      </c>
      <c r="V80" s="426">
        <f t="shared" si="7"/>
        <v>0.91230160000000005</v>
      </c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x14ac:dyDescent="0.2">
      <c r="A81" s="341" t="s">
        <v>1134</v>
      </c>
      <c r="B81" s="453">
        <f t="shared" si="0"/>
        <v>6.2900000000000005E-3</v>
      </c>
      <c r="C81" s="14" t="s">
        <v>925</v>
      </c>
      <c r="D81" s="5"/>
      <c r="E81" s="5">
        <f t="shared" si="8"/>
        <v>0.28139984822771602</v>
      </c>
      <c r="F81" s="5">
        <f t="shared" si="9"/>
        <v>1.6268876954088904E-3</v>
      </c>
      <c r="G81" s="5">
        <f t="shared" si="1"/>
        <v>-5.0000000000000001E-4</v>
      </c>
      <c r="H81" s="5">
        <f t="shared" si="2"/>
        <v>6.2900000000000005E-3</v>
      </c>
      <c r="I81" s="5">
        <f t="shared" si="3"/>
        <v>6.2900000000000005E-3</v>
      </c>
      <c r="J81" s="5"/>
      <c r="K81" s="5"/>
      <c r="L81" s="5"/>
      <c r="M81" s="5"/>
      <c r="N81" s="5"/>
      <c r="O81" s="5"/>
      <c r="P81" s="5"/>
      <c r="Q81" s="341"/>
      <c r="R81" s="5">
        <f t="shared" si="10"/>
        <v>0.28139984822771602</v>
      </c>
      <c r="S81" s="426">
        <f t="shared" si="4"/>
        <v>0.23596379134210546</v>
      </c>
      <c r="T81" s="426">
        <f t="shared" si="5"/>
        <v>-7.2520000000000001E-2</v>
      </c>
      <c r="U81" s="426">
        <f t="shared" si="6"/>
        <v>0.91230160000000005</v>
      </c>
      <c r="V81" s="426">
        <f t="shared" si="7"/>
        <v>0.91230160000000005</v>
      </c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x14ac:dyDescent="0.2">
      <c r="A82" s="341" t="s">
        <v>1135</v>
      </c>
      <c r="B82" s="453">
        <f t="shared" si="0"/>
        <v>6.2900000000000005E-3</v>
      </c>
      <c r="C82" s="14" t="s">
        <v>925</v>
      </c>
      <c r="D82" s="5"/>
      <c r="E82" s="5">
        <f t="shared" si="8"/>
        <v>0.28139984822771602</v>
      </c>
      <c r="F82" s="5">
        <f t="shared" si="9"/>
        <v>1.6268876954088904E-3</v>
      </c>
      <c r="G82" s="5">
        <f t="shared" si="1"/>
        <v>-5.0000000000000001E-4</v>
      </c>
      <c r="H82" s="5">
        <f t="shared" si="2"/>
        <v>6.2900000000000005E-3</v>
      </c>
      <c r="I82" s="5">
        <f t="shared" si="3"/>
        <v>6.2900000000000005E-3</v>
      </c>
      <c r="J82" s="5"/>
      <c r="K82" s="5"/>
      <c r="L82" s="5"/>
      <c r="M82" s="5"/>
      <c r="N82" s="5"/>
      <c r="O82" s="5"/>
      <c r="P82" s="5"/>
      <c r="Q82" s="341"/>
      <c r="R82" s="5">
        <f t="shared" si="10"/>
        <v>0.28139984822771602</v>
      </c>
      <c r="S82" s="426">
        <f t="shared" si="4"/>
        <v>0.23596379134210546</v>
      </c>
      <c r="T82" s="426">
        <f t="shared" si="5"/>
        <v>-7.2520000000000001E-2</v>
      </c>
      <c r="U82" s="426">
        <f t="shared" si="6"/>
        <v>0.91230160000000005</v>
      </c>
      <c r="V82" s="426">
        <f t="shared" si="7"/>
        <v>0.91230160000000005</v>
      </c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x14ac:dyDescent="0.2">
      <c r="A83" s="226" t="s">
        <v>1132</v>
      </c>
      <c r="B83" s="453">
        <f t="shared" si="0"/>
        <v>6.2900000000000005E-3</v>
      </c>
      <c r="C83" s="14" t="s">
        <v>925</v>
      </c>
      <c r="D83" s="5"/>
      <c r="E83" s="5">
        <f t="shared" si="8"/>
        <v>0.28139984822771602</v>
      </c>
      <c r="F83" s="5">
        <f t="shared" si="9"/>
        <v>1.6268876954088904E-3</v>
      </c>
      <c r="G83" s="5">
        <f t="shared" si="1"/>
        <v>-5.0000000000000001E-4</v>
      </c>
      <c r="H83" s="5">
        <f t="shared" si="2"/>
        <v>6.2900000000000005E-3</v>
      </c>
      <c r="I83" s="5">
        <f t="shared" si="3"/>
        <v>6.2900000000000005E-3</v>
      </c>
      <c r="J83" s="5"/>
      <c r="K83" s="5"/>
      <c r="L83" s="5"/>
      <c r="M83" s="5"/>
      <c r="N83" s="5"/>
      <c r="O83" s="5"/>
      <c r="P83" s="5"/>
      <c r="Q83" s="226"/>
      <c r="R83" s="5">
        <f t="shared" si="10"/>
        <v>0.28139984822771602</v>
      </c>
      <c r="S83" s="426">
        <f t="shared" si="4"/>
        <v>0.23596379134210546</v>
      </c>
      <c r="T83" s="426">
        <f t="shared" si="5"/>
        <v>-7.2520000000000001E-2</v>
      </c>
      <c r="U83" s="426">
        <f t="shared" si="6"/>
        <v>0.91230160000000005</v>
      </c>
      <c r="V83" s="426">
        <f t="shared" si="7"/>
        <v>0.91230160000000005</v>
      </c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x14ac:dyDescent="0.2">
      <c r="A84" s="226" t="s">
        <v>1132</v>
      </c>
      <c r="B84" s="453">
        <f t="shared" si="0"/>
        <v>6.2900000000000005E-3</v>
      </c>
      <c r="C84" s="14" t="s">
        <v>925</v>
      </c>
      <c r="D84" s="5"/>
      <c r="E84" s="5">
        <f t="shared" si="8"/>
        <v>-6.8343105327976161E-2</v>
      </c>
      <c r="F84" s="5">
        <f t="shared" si="9"/>
        <v>-3.9511946372530792E-4</v>
      </c>
      <c r="G84" s="5">
        <f t="shared" si="1"/>
        <v>-5.0000000000000001E-4</v>
      </c>
      <c r="H84" s="5">
        <f t="shared" si="2"/>
        <v>6.2900000000000005E-3</v>
      </c>
      <c r="I84" s="5">
        <f t="shared" si="3"/>
        <v>6.2900000000000005E-3</v>
      </c>
      <c r="J84" s="5"/>
      <c r="K84" s="5"/>
      <c r="L84" s="5"/>
      <c r="M84" s="5"/>
      <c r="N84" s="5"/>
      <c r="O84" s="5"/>
      <c r="P84" s="5"/>
      <c r="Q84" s="226"/>
      <c r="R84" s="454"/>
      <c r="S84" s="14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x14ac:dyDescent="0.2">
      <c r="A85" s="226"/>
      <c r="B85" s="454"/>
      <c r="C85" s="1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226"/>
      <c r="R85" s="454"/>
      <c r="S85" s="14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x14ac:dyDescent="0.2">
      <c r="A86" s="118" t="s">
        <v>358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18" t="s">
        <v>358</v>
      </c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x14ac:dyDescent="0.2">
      <c r="A88" s="5"/>
      <c r="B88" s="14" t="s">
        <v>360</v>
      </c>
      <c r="C88" s="14" t="s">
        <v>361</v>
      </c>
      <c r="D88" s="14" t="s">
        <v>362</v>
      </c>
      <c r="E88" s="218" t="s">
        <v>363</v>
      </c>
      <c r="F88" s="5"/>
      <c r="G88" s="14" t="s">
        <v>1136</v>
      </c>
      <c r="H88" s="14" t="s">
        <v>1137</v>
      </c>
      <c r="I88" s="5"/>
      <c r="J88" s="5"/>
      <c r="K88" s="5"/>
      <c r="L88" s="5"/>
      <c r="M88" s="5"/>
      <c r="N88" s="5"/>
      <c r="O88" s="5"/>
      <c r="P88" s="5"/>
      <c r="Q88" s="5"/>
      <c r="R88" s="14" t="s">
        <v>360</v>
      </c>
      <c r="S88" s="14" t="s">
        <v>361</v>
      </c>
      <c r="T88" s="14" t="s">
        <v>362</v>
      </c>
      <c r="U88" s="218" t="s">
        <v>363</v>
      </c>
      <c r="V88" s="5"/>
      <c r="W88" s="14" t="s">
        <v>1136</v>
      </c>
      <c r="X88" s="14" t="s">
        <v>1137</v>
      </c>
      <c r="Y88" s="5"/>
      <c r="Z88" s="5"/>
      <c r="AA88" s="5"/>
      <c r="AB88" s="5"/>
      <c r="AC88" s="5"/>
      <c r="AD88" s="5"/>
      <c r="AE88" s="5"/>
      <c r="AF88" s="5"/>
    </row>
    <row r="89" spans="1:32" x14ac:dyDescent="0.2">
      <c r="A89" s="5"/>
      <c r="B89" s="14" t="s">
        <v>247</v>
      </c>
      <c r="C89" s="14" t="s">
        <v>247</v>
      </c>
      <c r="D89" s="14" t="s">
        <v>247</v>
      </c>
      <c r="E89" s="218" t="s">
        <v>247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170" t="s">
        <v>248</v>
      </c>
      <c r="S89" s="170" t="s">
        <v>248</v>
      </c>
      <c r="T89" s="170" t="s">
        <v>248</v>
      </c>
      <c r="U89" s="111" t="s">
        <v>248</v>
      </c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x14ac:dyDescent="0.2">
      <c r="A90" s="5">
        <v>1</v>
      </c>
      <c r="B90" s="262">
        <v>8</v>
      </c>
      <c r="C90" s="263">
        <f t="shared" ref="C90:C96" si="11">B90^2.5*$B$15/(15203*($B$35/1000)^1.5*I71*1000*$B$16)*1000</f>
        <v>1291.8493050988195</v>
      </c>
      <c r="D90" s="455">
        <v>1200</v>
      </c>
      <c r="E90" s="14">
        <f>D90</f>
        <v>1200</v>
      </c>
      <c r="F90" s="264" t="str">
        <f t="shared" ref="F90:F96" si="12">IF(D90&lt;C90,"OK","ERROR")</f>
        <v>OK</v>
      </c>
      <c r="G90" s="456">
        <f t="shared" ref="G90:G96" si="13">C90/D90</f>
        <v>1.0765410875823496</v>
      </c>
      <c r="H90" s="457">
        <f>+IF(E90&lt;B20, 1,"roof")</f>
        <v>1</v>
      </c>
      <c r="I90" s="5"/>
      <c r="J90" s="5">
        <f t="shared" ref="J90:J98" si="14">N90/C90</f>
        <v>1.4120490761543465</v>
      </c>
      <c r="K90" s="399"/>
      <c r="L90" s="5">
        <f t="shared" ref="L90:L95" si="15">C90/D90</f>
        <v>1.0765410875823496</v>
      </c>
      <c r="M90" s="5"/>
      <c r="N90" s="260">
        <f t="shared" ref="N90:N99" si="16">$B$14*((B90/$B$14)^0.5)*(0.45+2.42*$B$15*(B90/$B$14)^2/($B$16*B71*(1-$B$19^2)^0.75))</f>
        <v>1824.1546177954226</v>
      </c>
      <c r="O90" s="5"/>
      <c r="P90" s="5"/>
      <c r="Q90" s="5">
        <v>1</v>
      </c>
      <c r="R90" s="220">
        <f t="shared" ref="R90:R99" si="17">B90/25.4</f>
        <v>0.31496062992125984</v>
      </c>
      <c r="S90" s="260">
        <f t="shared" ref="S90:S99" si="18">C90/25.4</f>
        <v>50.860208862158252</v>
      </c>
      <c r="T90" s="458">
        <f t="shared" ref="T90:T99" si="19">D90/25.4</f>
        <v>47.244094488188978</v>
      </c>
      <c r="U90" s="260">
        <f t="shared" ref="U90:U99" si="20">E90/25.4</f>
        <v>47.244094488188978</v>
      </c>
      <c r="V90" s="264" t="str">
        <f t="shared" ref="V90:V98" si="21">IF(T90&lt;S90,"OK","ERROR")</f>
        <v>OK</v>
      </c>
      <c r="W90" s="213">
        <f t="shared" ref="W90:W96" si="22">S90/T90</f>
        <v>1.0765410875823496</v>
      </c>
      <c r="X90" s="170">
        <v>1</v>
      </c>
      <c r="Y90" s="5"/>
      <c r="Z90" s="5" t="e">
        <f t="shared" ref="Z90:Z100" si="23">AD90/S90</f>
        <v>#REF!</v>
      </c>
      <c r="AA90" s="399"/>
      <c r="AB90" s="5">
        <f t="shared" ref="AB90:AB100" si="24">S90/T90</f>
        <v>1.0765410875823496</v>
      </c>
      <c r="AC90" s="5"/>
      <c r="AD90" s="260" t="e">
        <f>$B$14*((R90/$B$14)^0.5)*(0.45+2.42*$B$15*(R90/$B$14)^2/($B$16*#REF!*(1-$B$19^2)^0.75))</f>
        <v>#REF!</v>
      </c>
      <c r="AE90" s="5"/>
      <c r="AF90" s="5"/>
    </row>
    <row r="91" spans="1:32" x14ac:dyDescent="0.2">
      <c r="A91" s="5">
        <f t="shared" ref="A91:A96" si="25">A90+1</f>
        <v>2</v>
      </c>
      <c r="B91" s="219">
        <v>8</v>
      </c>
      <c r="C91" s="263">
        <f t="shared" si="11"/>
        <v>1291.8493050988195</v>
      </c>
      <c r="D91" s="455">
        <v>1200</v>
      </c>
      <c r="E91" s="14">
        <f t="shared" ref="E91:E96" si="26">E90+D91</f>
        <v>2400</v>
      </c>
      <c r="F91" s="264" t="str">
        <f t="shared" si="12"/>
        <v>OK</v>
      </c>
      <c r="G91" s="456">
        <f t="shared" si="13"/>
        <v>1.0765410875823496</v>
      </c>
      <c r="H91" s="457">
        <f t="shared" ref="H91:H96" si="27">+IF(E91&lt;$B$20, +H90+1,"roof")</f>
        <v>2</v>
      </c>
      <c r="I91" s="5"/>
      <c r="J91" s="5">
        <f t="shared" si="14"/>
        <v>1.4120490761543465</v>
      </c>
      <c r="K91" s="399"/>
      <c r="L91" s="5">
        <f t="shared" si="15"/>
        <v>1.0765410875823496</v>
      </c>
      <c r="M91" s="5"/>
      <c r="N91" s="260">
        <f t="shared" si="16"/>
        <v>1824.1546177954226</v>
      </c>
      <c r="O91" s="5"/>
      <c r="P91" s="5"/>
      <c r="Q91" s="5">
        <f t="shared" ref="Q91:Q99" si="28">Q90+1</f>
        <v>2</v>
      </c>
      <c r="R91" s="220">
        <f t="shared" si="17"/>
        <v>0.31496062992125984</v>
      </c>
      <c r="S91" s="260">
        <f t="shared" si="18"/>
        <v>50.860208862158252</v>
      </c>
      <c r="T91" s="458">
        <f t="shared" si="19"/>
        <v>47.244094488188978</v>
      </c>
      <c r="U91" s="260">
        <f t="shared" si="20"/>
        <v>94.488188976377955</v>
      </c>
      <c r="V91" s="264" t="str">
        <f t="shared" si="21"/>
        <v>OK</v>
      </c>
      <c r="W91" s="213">
        <f t="shared" si="22"/>
        <v>1.0765410875823496</v>
      </c>
      <c r="X91" s="170">
        <v>2</v>
      </c>
      <c r="Y91" s="5"/>
      <c r="Z91" s="5" t="e">
        <f t="shared" si="23"/>
        <v>#REF!</v>
      </c>
      <c r="AA91" s="399"/>
      <c r="AB91" s="5">
        <f t="shared" si="24"/>
        <v>1.0765410875823496</v>
      </c>
      <c r="AC91" s="5"/>
      <c r="AD91" s="260" t="e">
        <f>$B$14*((R91/$B$14)^0.5)*(0.45+2.42*$B$15*(R91/$B$14)^2/($B$16*#REF!*(1-$B$19^2)^0.75))</f>
        <v>#REF!</v>
      </c>
      <c r="AE91" s="5"/>
      <c r="AF91" s="5"/>
    </row>
    <row r="92" spans="1:32" x14ac:dyDescent="0.2">
      <c r="A92" s="5">
        <f t="shared" si="25"/>
        <v>3</v>
      </c>
      <c r="B92" s="219">
        <v>8</v>
      </c>
      <c r="C92" s="263">
        <f t="shared" si="11"/>
        <v>1291.8493050988195</v>
      </c>
      <c r="D92" s="455">
        <v>1200</v>
      </c>
      <c r="E92" s="14">
        <f t="shared" si="26"/>
        <v>3600</v>
      </c>
      <c r="F92" s="264" t="str">
        <f t="shared" si="12"/>
        <v>OK</v>
      </c>
      <c r="G92" s="456">
        <f t="shared" si="13"/>
        <v>1.0765410875823496</v>
      </c>
      <c r="H92" s="457">
        <f t="shared" si="27"/>
        <v>3</v>
      </c>
      <c r="I92" s="5"/>
      <c r="J92" s="5">
        <f t="shared" si="14"/>
        <v>1.4120490761543465</v>
      </c>
      <c r="K92" s="399"/>
      <c r="L92" s="5">
        <f t="shared" si="15"/>
        <v>1.0765410875823496</v>
      </c>
      <c r="M92" s="5"/>
      <c r="N92" s="260">
        <f t="shared" si="16"/>
        <v>1824.1546177954226</v>
      </c>
      <c r="O92" s="5"/>
      <c r="P92" s="5"/>
      <c r="Q92" s="5">
        <f t="shared" si="28"/>
        <v>3</v>
      </c>
      <c r="R92" s="220">
        <f t="shared" si="17"/>
        <v>0.31496062992125984</v>
      </c>
      <c r="S92" s="260">
        <f t="shared" si="18"/>
        <v>50.860208862158252</v>
      </c>
      <c r="T92" s="458">
        <f t="shared" si="19"/>
        <v>47.244094488188978</v>
      </c>
      <c r="U92" s="260">
        <f t="shared" si="20"/>
        <v>141.73228346456693</v>
      </c>
      <c r="V92" s="264" t="str">
        <f t="shared" si="21"/>
        <v>OK</v>
      </c>
      <c r="W92" s="213">
        <f t="shared" si="22"/>
        <v>1.0765410875823496</v>
      </c>
      <c r="X92" s="170">
        <v>3</v>
      </c>
      <c r="Y92" s="5"/>
      <c r="Z92" s="5" t="e">
        <f t="shared" si="23"/>
        <v>#REF!</v>
      </c>
      <c r="AA92" s="399"/>
      <c r="AB92" s="5">
        <f t="shared" si="24"/>
        <v>1.0765410875823496</v>
      </c>
      <c r="AC92" s="5"/>
      <c r="AD92" s="260" t="e">
        <f>$B$14*((R92/$B$14)^0.5)*(0.45+2.42*$B$15*(R92/$B$14)^2/($B$16*#REF!*(1-$B$19^2)^0.75))</f>
        <v>#REF!</v>
      </c>
      <c r="AE92" s="5"/>
      <c r="AF92" s="5"/>
    </row>
    <row r="93" spans="1:32" x14ac:dyDescent="0.2">
      <c r="A93" s="5">
        <f t="shared" si="25"/>
        <v>4</v>
      </c>
      <c r="B93" s="219">
        <v>8</v>
      </c>
      <c r="C93" s="263">
        <f t="shared" si="11"/>
        <v>1291.8493050988195</v>
      </c>
      <c r="D93" s="455">
        <v>1000</v>
      </c>
      <c r="E93" s="14">
        <f t="shared" si="26"/>
        <v>4600</v>
      </c>
      <c r="F93" s="264" t="str">
        <f t="shared" si="12"/>
        <v>OK</v>
      </c>
      <c r="G93" s="456">
        <f t="shared" si="13"/>
        <v>1.2918493050988196</v>
      </c>
      <c r="H93" s="457">
        <f t="shared" si="27"/>
        <v>4</v>
      </c>
      <c r="I93" s="5"/>
      <c r="J93" s="5">
        <f t="shared" si="14"/>
        <v>1.4120490761543465</v>
      </c>
      <c r="K93" s="399"/>
      <c r="L93" s="5">
        <f t="shared" si="15"/>
        <v>1.2918493050988196</v>
      </c>
      <c r="M93" s="5"/>
      <c r="N93" s="260">
        <f t="shared" si="16"/>
        <v>1824.1546177954226</v>
      </c>
      <c r="O93" s="5"/>
      <c r="P93" s="5"/>
      <c r="Q93" s="5">
        <f t="shared" si="28"/>
        <v>4</v>
      </c>
      <c r="R93" s="220">
        <f t="shared" si="17"/>
        <v>0.31496062992125984</v>
      </c>
      <c r="S93" s="260">
        <f t="shared" si="18"/>
        <v>50.860208862158252</v>
      </c>
      <c r="T93" s="458">
        <f t="shared" si="19"/>
        <v>39.370078740157481</v>
      </c>
      <c r="U93" s="260">
        <f t="shared" si="20"/>
        <v>181.10236220472441</v>
      </c>
      <c r="V93" s="264" t="str">
        <f t="shared" si="21"/>
        <v>OK</v>
      </c>
      <c r="W93" s="213">
        <f t="shared" si="22"/>
        <v>1.2918493050988196</v>
      </c>
      <c r="X93" s="170">
        <v>4</v>
      </c>
      <c r="Y93" s="5"/>
      <c r="Z93" s="5" t="e">
        <f t="shared" si="23"/>
        <v>#REF!</v>
      </c>
      <c r="AA93" s="399"/>
      <c r="AB93" s="5">
        <f t="shared" si="24"/>
        <v>1.2918493050988196</v>
      </c>
      <c r="AC93" s="5"/>
      <c r="AD93" s="260" t="e">
        <f>$B$14*((R93/$B$14)^0.5)*(0.45+2.42*$B$15*(R93/$B$14)^2/($B$16*#REF!*(1-$B$19^2)^0.75))</f>
        <v>#REF!</v>
      </c>
      <c r="AE93" s="5"/>
      <c r="AF93" s="5"/>
    </row>
    <row r="94" spans="1:32" x14ac:dyDescent="0.2">
      <c r="A94" s="5">
        <f t="shared" si="25"/>
        <v>5</v>
      </c>
      <c r="B94" s="219">
        <v>8</v>
      </c>
      <c r="C94" s="263">
        <f t="shared" si="11"/>
        <v>1291.8493050988195</v>
      </c>
      <c r="D94" s="455">
        <v>1000</v>
      </c>
      <c r="E94" s="14">
        <f t="shared" si="26"/>
        <v>5600</v>
      </c>
      <c r="F94" s="264" t="str">
        <f t="shared" si="12"/>
        <v>OK</v>
      </c>
      <c r="G94" s="456">
        <f t="shared" si="13"/>
        <v>1.2918493050988196</v>
      </c>
      <c r="H94" s="457">
        <f t="shared" si="27"/>
        <v>5</v>
      </c>
      <c r="I94" s="5"/>
      <c r="J94" s="5">
        <f t="shared" si="14"/>
        <v>1.4120490761543465</v>
      </c>
      <c r="K94" s="399"/>
      <c r="L94" s="5">
        <f t="shared" si="15"/>
        <v>1.2918493050988196</v>
      </c>
      <c r="M94" s="5"/>
      <c r="N94" s="260">
        <f t="shared" si="16"/>
        <v>1824.1546177954226</v>
      </c>
      <c r="O94" s="5"/>
      <c r="P94" s="5"/>
      <c r="Q94" s="5">
        <f t="shared" si="28"/>
        <v>5</v>
      </c>
      <c r="R94" s="220">
        <f t="shared" si="17"/>
        <v>0.31496062992125984</v>
      </c>
      <c r="S94" s="260">
        <f t="shared" si="18"/>
        <v>50.860208862158252</v>
      </c>
      <c r="T94" s="458">
        <f t="shared" si="19"/>
        <v>39.370078740157481</v>
      </c>
      <c r="U94" s="260">
        <f t="shared" si="20"/>
        <v>220.4724409448819</v>
      </c>
      <c r="V94" s="264" t="str">
        <f t="shared" si="21"/>
        <v>OK</v>
      </c>
      <c r="W94" s="213">
        <f t="shared" si="22"/>
        <v>1.2918493050988196</v>
      </c>
      <c r="X94" s="170">
        <v>5</v>
      </c>
      <c r="Y94" s="5"/>
      <c r="Z94" s="5" t="e">
        <f t="shared" si="23"/>
        <v>#REF!</v>
      </c>
      <c r="AA94" s="399"/>
      <c r="AB94" s="5">
        <f t="shared" si="24"/>
        <v>1.2918493050988196</v>
      </c>
      <c r="AC94" s="5"/>
      <c r="AD94" s="260" t="e">
        <f>$B$14*((R94/$B$14)^0.5)*(0.45+2.42*$B$15*(R94/$B$14)^2/($B$16*#REF!*(1-$B$19^2)^0.75))</f>
        <v>#REF!</v>
      </c>
      <c r="AE94" s="5"/>
      <c r="AF94" s="5"/>
    </row>
    <row r="95" spans="1:32" x14ac:dyDescent="0.2">
      <c r="A95" s="5">
        <f t="shared" si="25"/>
        <v>6</v>
      </c>
      <c r="B95" s="219">
        <v>8</v>
      </c>
      <c r="C95" s="263">
        <f t="shared" si="11"/>
        <v>1291.8493050988195</v>
      </c>
      <c r="D95" s="455">
        <v>1200</v>
      </c>
      <c r="E95" s="14">
        <f t="shared" si="26"/>
        <v>6800</v>
      </c>
      <c r="F95" s="264" t="str">
        <f t="shared" si="12"/>
        <v>OK</v>
      </c>
      <c r="G95" s="456">
        <f t="shared" si="13"/>
        <v>1.0765410875823496</v>
      </c>
      <c r="H95" s="457">
        <f t="shared" si="27"/>
        <v>6</v>
      </c>
      <c r="I95" s="5"/>
      <c r="J95" s="5">
        <f t="shared" si="14"/>
        <v>1.4120490761543465</v>
      </c>
      <c r="K95" s="399"/>
      <c r="L95" s="5">
        <f t="shared" si="15"/>
        <v>1.0765410875823496</v>
      </c>
      <c r="M95" s="5"/>
      <c r="N95" s="260">
        <f t="shared" si="16"/>
        <v>1824.1546177954226</v>
      </c>
      <c r="O95" s="5"/>
      <c r="P95" s="5"/>
      <c r="Q95" s="5">
        <f t="shared" si="28"/>
        <v>6</v>
      </c>
      <c r="R95" s="220">
        <f t="shared" si="17"/>
        <v>0.31496062992125984</v>
      </c>
      <c r="S95" s="260">
        <f t="shared" si="18"/>
        <v>50.860208862158252</v>
      </c>
      <c r="T95" s="458">
        <f t="shared" si="19"/>
        <v>47.244094488188978</v>
      </c>
      <c r="U95" s="260">
        <f t="shared" si="20"/>
        <v>267.71653543307087</v>
      </c>
      <c r="V95" s="264" t="str">
        <f t="shared" si="21"/>
        <v>OK</v>
      </c>
      <c r="W95" s="213">
        <f t="shared" si="22"/>
        <v>1.0765410875823496</v>
      </c>
      <c r="X95" s="170">
        <v>6</v>
      </c>
      <c r="Y95" s="5"/>
      <c r="Z95" s="5" t="e">
        <f t="shared" si="23"/>
        <v>#REF!</v>
      </c>
      <c r="AA95" s="399"/>
      <c r="AB95" s="5">
        <f t="shared" si="24"/>
        <v>1.0765410875823496</v>
      </c>
      <c r="AC95" s="5"/>
      <c r="AD95" s="260" t="e">
        <f>$B$14*((R95/$B$14)^0.5)*(0.45+2.42*$B$15*(R95/$B$14)^2/($B$16*#REF!*(1-$B$19^2)^0.75))</f>
        <v>#REF!</v>
      </c>
      <c r="AE95" s="5"/>
      <c r="AF95" s="5"/>
    </row>
    <row r="96" spans="1:32" x14ac:dyDescent="0.2">
      <c r="A96" s="5">
        <f t="shared" si="25"/>
        <v>7</v>
      </c>
      <c r="B96" s="219">
        <v>8</v>
      </c>
      <c r="C96" s="263">
        <f t="shared" si="11"/>
        <v>1291.8493050988195</v>
      </c>
      <c r="D96" s="455">
        <v>1200</v>
      </c>
      <c r="E96" s="14">
        <f t="shared" si="26"/>
        <v>8000</v>
      </c>
      <c r="F96" s="264" t="str">
        <f t="shared" si="12"/>
        <v>OK</v>
      </c>
      <c r="G96" s="456">
        <f t="shared" si="13"/>
        <v>1.0765410875823496</v>
      </c>
      <c r="H96" s="457" t="str">
        <f t="shared" si="27"/>
        <v>roof</v>
      </c>
      <c r="I96" s="5"/>
      <c r="J96" s="5">
        <f t="shared" si="14"/>
        <v>1.4120490761543465</v>
      </c>
      <c r="K96" s="399"/>
      <c r="L96" s="265" t="str">
        <f>IF(J95&gt;=J102," ",H96/I96)</f>
        <v xml:space="preserve"> </v>
      </c>
      <c r="M96" s="5"/>
      <c r="N96" s="260">
        <f t="shared" si="16"/>
        <v>1824.1546177954226</v>
      </c>
      <c r="O96" s="5"/>
      <c r="P96" s="5"/>
      <c r="Q96" s="5">
        <f t="shared" si="28"/>
        <v>7</v>
      </c>
      <c r="R96" s="220">
        <f t="shared" si="17"/>
        <v>0.31496062992125984</v>
      </c>
      <c r="S96" s="260">
        <f t="shared" si="18"/>
        <v>50.860208862158252</v>
      </c>
      <c r="T96" s="458">
        <f t="shared" si="19"/>
        <v>47.244094488188978</v>
      </c>
      <c r="U96" s="260">
        <f t="shared" si="20"/>
        <v>314.96062992125985</v>
      </c>
      <c r="V96" s="264" t="str">
        <f t="shared" si="21"/>
        <v>OK</v>
      </c>
      <c r="W96" s="213">
        <f t="shared" si="22"/>
        <v>1.0765410875823496</v>
      </c>
      <c r="X96" s="170" t="s">
        <v>1138</v>
      </c>
      <c r="Y96" s="5"/>
      <c r="Z96" s="5" t="e">
        <f t="shared" si="23"/>
        <v>#REF!</v>
      </c>
      <c r="AA96" s="399"/>
      <c r="AB96" s="5">
        <f t="shared" si="24"/>
        <v>1.0765410875823496</v>
      </c>
      <c r="AC96" s="5"/>
      <c r="AD96" s="260" t="e">
        <f>$B$14*((R96/$B$14)^0.5)*(0.45+2.42*$B$15*(R96/$B$14)^2/($B$16*#REF!*(1-$B$19^2)^0.75))</f>
        <v>#REF!</v>
      </c>
      <c r="AE96" s="5"/>
      <c r="AF96" s="5"/>
    </row>
    <row r="97" spans="1:32" x14ac:dyDescent="0.2">
      <c r="A97" s="5"/>
      <c r="B97" s="219"/>
      <c r="C97" s="263"/>
      <c r="D97" s="219"/>
      <c r="E97" s="14"/>
      <c r="F97" s="264"/>
      <c r="G97" s="265" t="str">
        <f>IF(E96&gt;=E103," ",C97/D97)</f>
        <v xml:space="preserve"> </v>
      </c>
      <c r="H97" s="226"/>
      <c r="I97" s="5"/>
      <c r="J97" s="5" t="e">
        <f t="shared" si="14"/>
        <v>#DIV/0!</v>
      </c>
      <c r="K97" s="399"/>
      <c r="L97" s="265" t="str">
        <f>IF(J96&gt;=J103," ",H97/I97)</f>
        <v xml:space="preserve"> </v>
      </c>
      <c r="M97" s="5"/>
      <c r="N97" s="260">
        <f t="shared" si="16"/>
        <v>0</v>
      </c>
      <c r="O97" s="5"/>
      <c r="P97" s="5"/>
      <c r="Q97" s="5">
        <f t="shared" si="28"/>
        <v>8</v>
      </c>
      <c r="R97" s="220">
        <f t="shared" si="17"/>
        <v>0</v>
      </c>
      <c r="S97" s="260">
        <f t="shared" si="18"/>
        <v>0</v>
      </c>
      <c r="T97" s="219">
        <f t="shared" si="19"/>
        <v>0</v>
      </c>
      <c r="U97" s="260">
        <f t="shared" si="20"/>
        <v>0</v>
      </c>
      <c r="V97" s="264" t="str">
        <f t="shared" si="21"/>
        <v>ERROR</v>
      </c>
      <c r="W97" s="417" t="str">
        <f>IF(U96&gt;=U103," ",S97/T97)</f>
        <v xml:space="preserve"> </v>
      </c>
      <c r="X97" s="14"/>
      <c r="Y97" s="5"/>
      <c r="Z97" s="5" t="e">
        <f t="shared" si="23"/>
        <v>#REF!</v>
      </c>
      <c r="AA97" s="399"/>
      <c r="AB97" s="5" t="e">
        <f t="shared" si="24"/>
        <v>#DIV/0!</v>
      </c>
      <c r="AC97" s="5"/>
      <c r="AD97" s="260" t="e">
        <f>$B$14*((R97/$B$14)^0.5)*(0.45+2.42*$B$15*(R97/$B$14)^2/($B$16*#REF!*(1-$B$19^2)^0.75))</f>
        <v>#REF!</v>
      </c>
      <c r="AE97" s="5"/>
      <c r="AF97" s="5"/>
    </row>
    <row r="98" spans="1:32" x14ac:dyDescent="0.2">
      <c r="A98" s="5"/>
      <c r="B98" s="219"/>
      <c r="C98" s="263"/>
      <c r="D98" s="219"/>
      <c r="E98" s="14"/>
      <c r="F98" s="264"/>
      <c r="G98" s="265" t="str">
        <f>IF(E97&gt;=E104," ",C98/D98)</f>
        <v xml:space="preserve"> </v>
      </c>
      <c r="H98" s="226"/>
      <c r="I98" s="5"/>
      <c r="J98" s="5" t="e">
        <f t="shared" si="14"/>
        <v>#DIV/0!</v>
      </c>
      <c r="K98" s="399"/>
      <c r="L98" s="265" t="e">
        <f>IF(J97&gt;=J104," ",H98/I98)</f>
        <v>#DIV/0!</v>
      </c>
      <c r="M98" s="5"/>
      <c r="N98" s="260">
        <f t="shared" si="16"/>
        <v>0</v>
      </c>
      <c r="O98" s="5"/>
      <c r="P98" s="5"/>
      <c r="Q98" s="5">
        <f t="shared" si="28"/>
        <v>9</v>
      </c>
      <c r="R98" s="220">
        <f t="shared" si="17"/>
        <v>0</v>
      </c>
      <c r="S98" s="260">
        <f t="shared" si="18"/>
        <v>0</v>
      </c>
      <c r="T98" s="219">
        <f t="shared" si="19"/>
        <v>0</v>
      </c>
      <c r="U98" s="260">
        <f t="shared" si="20"/>
        <v>0</v>
      </c>
      <c r="V98" s="264" t="str">
        <f t="shared" si="21"/>
        <v>ERROR</v>
      </c>
      <c r="W98" s="417" t="str">
        <f>IF(U97&gt;=U104," ",S98/T98)</f>
        <v xml:space="preserve"> </v>
      </c>
      <c r="X98" s="14"/>
      <c r="Y98" s="5"/>
      <c r="Z98" s="5" t="e">
        <f t="shared" si="23"/>
        <v>#REF!</v>
      </c>
      <c r="AA98" s="399"/>
      <c r="AB98" s="5" t="e">
        <f t="shared" si="24"/>
        <v>#DIV/0!</v>
      </c>
      <c r="AC98" s="5"/>
      <c r="AD98" s="260" t="e">
        <f>$B$14*((R98/$B$14)^0.5)*(0.45+2.42*$B$15*(R98/$B$14)^2/($B$16*#REF!*(1-$B$19^2)^0.75))</f>
        <v>#REF!</v>
      </c>
      <c r="AE98" s="5"/>
      <c r="AF98" s="5"/>
    </row>
    <row r="99" spans="1:32" x14ac:dyDescent="0.2">
      <c r="A99" s="5"/>
      <c r="B99" s="219"/>
      <c r="C99" s="263"/>
      <c r="D99" s="219"/>
      <c r="E99" s="14"/>
      <c r="F99" s="264"/>
      <c r="G99" s="265"/>
      <c r="H99" s="226"/>
      <c r="I99" s="5"/>
      <c r="J99" s="5"/>
      <c r="K99" s="399"/>
      <c r="L99" s="265" t="e">
        <f>IF(J98&gt;=J105," ",H99/I99)</f>
        <v>#DIV/0!</v>
      </c>
      <c r="M99" s="5"/>
      <c r="N99" s="260">
        <f t="shared" si="16"/>
        <v>0</v>
      </c>
      <c r="O99" s="5"/>
      <c r="P99" s="5"/>
      <c r="Q99" s="5">
        <f t="shared" si="28"/>
        <v>10</v>
      </c>
      <c r="R99" s="219">
        <f t="shared" si="17"/>
        <v>0</v>
      </c>
      <c r="S99" s="260">
        <f t="shared" si="18"/>
        <v>0</v>
      </c>
      <c r="T99" s="219">
        <f t="shared" si="19"/>
        <v>0</v>
      </c>
      <c r="U99" s="260">
        <f t="shared" si="20"/>
        <v>0</v>
      </c>
      <c r="V99" s="264"/>
      <c r="W99" s="417"/>
      <c r="X99" s="14"/>
      <c r="Y99" s="5"/>
      <c r="Z99" s="5" t="e">
        <f t="shared" si="23"/>
        <v>#REF!</v>
      </c>
      <c r="AA99" s="399"/>
      <c r="AB99" s="5" t="e">
        <f t="shared" si="24"/>
        <v>#DIV/0!</v>
      </c>
      <c r="AC99" s="5"/>
      <c r="AD99" s="260" t="e">
        <f>$B$14*((R99/$B$14)^0.5)*(0.45+2.42*$B$15*(R99/$B$14)^2/($B$16*#REF!*(1-$B$19^2)^0.75))</f>
        <v>#REF!</v>
      </c>
      <c r="AE99" s="5"/>
      <c r="AF99" s="5"/>
    </row>
    <row r="100" spans="1:32" x14ac:dyDescent="0.2">
      <c r="A100" s="5"/>
      <c r="B100" s="14"/>
      <c r="C100" s="263"/>
      <c r="D100" s="14"/>
      <c r="E100" s="14"/>
      <c r="F100" s="14"/>
      <c r="G100" s="265"/>
      <c r="H100" s="226"/>
      <c r="I100" s="5"/>
      <c r="J100" s="5"/>
      <c r="K100" s="14"/>
      <c r="L100" s="5"/>
      <c r="M100" s="5"/>
      <c r="N100" s="260"/>
      <c r="O100" s="5"/>
      <c r="P100" s="5"/>
      <c r="Q100" s="5"/>
      <c r="R100" s="14"/>
      <c r="S100" s="263"/>
      <c r="T100" s="14"/>
      <c r="U100" s="263"/>
      <c r="V100" s="14"/>
      <c r="W100" s="265"/>
      <c r="X100" s="226"/>
      <c r="Y100" s="5"/>
      <c r="Z100" s="5" t="e">
        <f t="shared" si="23"/>
        <v>#REF!</v>
      </c>
      <c r="AA100" s="399"/>
      <c r="AB100" s="5" t="e">
        <f t="shared" si="24"/>
        <v>#DIV/0!</v>
      </c>
      <c r="AC100" s="5"/>
      <c r="AD100" s="260" t="e">
        <f>$B$14*((R100/$B$14)^0.5)*(0.45+2.42*$B$15*(R100/$B$14)^2/($B$16*#REF!*(1-$B$19^2)^0.75))</f>
        <v>#REF!</v>
      </c>
      <c r="AE100" s="5"/>
      <c r="AF100" s="5"/>
    </row>
    <row r="101" spans="1:32" x14ac:dyDescent="0.2">
      <c r="A101" s="5"/>
      <c r="B101" s="14"/>
      <c r="C101" s="263"/>
      <c r="D101" s="14"/>
      <c r="E101" s="14"/>
      <c r="F101" s="14"/>
      <c r="G101" s="265"/>
      <c r="H101" s="226"/>
      <c r="I101" s="5"/>
      <c r="J101" s="5"/>
      <c r="K101" s="14"/>
      <c r="L101" s="5"/>
      <c r="M101" s="5"/>
      <c r="N101" s="260"/>
      <c r="O101" s="5"/>
      <c r="P101" s="5"/>
      <c r="Q101" s="5"/>
      <c r="R101" s="14"/>
      <c r="S101" s="263"/>
      <c r="T101" s="14"/>
      <c r="U101" s="263"/>
      <c r="V101" s="14"/>
      <c r="W101" s="265"/>
      <c r="X101" s="226"/>
      <c r="Y101" s="5"/>
      <c r="Z101" s="5"/>
      <c r="AA101" s="399"/>
      <c r="AB101" s="5"/>
      <c r="AC101" s="5"/>
      <c r="AD101" s="260"/>
      <c r="AE101" s="5"/>
      <c r="AF101" s="5"/>
    </row>
    <row r="102" spans="1:32" x14ac:dyDescent="0.2">
      <c r="A102" s="5"/>
      <c r="B102" s="14"/>
      <c r="C102" s="263"/>
      <c r="D102" s="14" t="s">
        <v>1139</v>
      </c>
      <c r="E102" s="170">
        <f>'Main Dimensions Calcs'!D50</f>
        <v>7200</v>
      </c>
      <c r="F102" s="14"/>
      <c r="G102" s="265"/>
      <c r="H102" s="226"/>
      <c r="I102" s="5"/>
      <c r="J102" s="5"/>
      <c r="K102" s="14"/>
      <c r="L102" s="5"/>
      <c r="M102" s="5"/>
      <c r="N102" s="260"/>
      <c r="O102" s="5"/>
      <c r="P102" s="5"/>
      <c r="Q102" s="5"/>
      <c r="R102" s="14"/>
      <c r="S102" s="263"/>
      <c r="T102" s="14"/>
      <c r="U102" s="263"/>
      <c r="V102" s="14"/>
      <c r="W102" s="265"/>
      <c r="X102" s="226"/>
      <c r="Y102" s="5"/>
      <c r="Z102" s="5"/>
      <c r="AA102" s="399"/>
      <c r="AB102" s="5"/>
      <c r="AC102" s="5"/>
      <c r="AD102" s="260"/>
      <c r="AE102" s="5"/>
      <c r="AF102" s="5"/>
    </row>
    <row r="103" spans="1:32" x14ac:dyDescent="0.2">
      <c r="A103" s="5"/>
      <c r="B103" s="14"/>
      <c r="C103" s="263"/>
      <c r="D103" s="14"/>
      <c r="E103" s="14"/>
      <c r="F103" s="14"/>
      <c r="G103" s="265"/>
      <c r="H103" s="226"/>
      <c r="I103" s="5"/>
      <c r="J103" s="5"/>
      <c r="K103" s="14"/>
      <c r="L103" s="5"/>
      <c r="M103" s="5"/>
      <c r="N103" s="260"/>
      <c r="O103" s="5"/>
      <c r="P103" s="5"/>
      <c r="Q103" s="5"/>
      <c r="R103" s="14"/>
      <c r="S103" s="263"/>
      <c r="T103" s="14"/>
      <c r="U103" s="263"/>
      <c r="V103" s="14"/>
      <c r="W103" s="265"/>
      <c r="X103" s="226"/>
      <c r="Y103" s="5"/>
      <c r="Z103" s="5" t="e">
        <f>AD103/S103</f>
        <v>#REF!</v>
      </c>
      <c r="AA103" s="399"/>
      <c r="AB103" s="5" t="e">
        <f>S103/T103</f>
        <v>#DIV/0!</v>
      </c>
      <c r="AC103" s="5"/>
      <c r="AD103" s="260" t="e">
        <f>$B$14*((R103/$B$14)^0.5)*(0.45+2.42*$B$15*(R103/$B$14)^2/($B$16*#REF!*(1-$B$19^2)^0.75))</f>
        <v>#REF!</v>
      </c>
      <c r="AE103" s="5"/>
      <c r="AF103" s="5"/>
    </row>
    <row r="104" spans="1:32" x14ac:dyDescent="0.2">
      <c r="A104" s="5"/>
      <c r="B104" s="14"/>
      <c r="C104" s="263"/>
      <c r="D104" s="14"/>
      <c r="E104" s="14"/>
      <c r="F104" s="14"/>
      <c r="G104" s="265"/>
      <c r="H104" s="226"/>
      <c r="I104" s="5"/>
      <c r="J104" s="5"/>
      <c r="K104" s="5"/>
      <c r="L104" s="5"/>
      <c r="M104" s="5"/>
      <c r="N104" s="260"/>
      <c r="O104" s="5"/>
      <c r="P104" s="5"/>
      <c r="Q104" s="5"/>
      <c r="R104" s="14" t="s">
        <v>1140</v>
      </c>
      <c r="S104" s="263"/>
      <c r="T104" s="14"/>
      <c r="U104" s="14"/>
      <c r="V104" s="14"/>
      <c r="W104" s="265"/>
      <c r="X104" s="226"/>
      <c r="Y104" s="5"/>
      <c r="Z104" s="5" t="e">
        <f>AD104/S104</f>
        <v>#VALUE!</v>
      </c>
      <c r="AA104" s="5"/>
      <c r="AB104" s="5" t="e">
        <f>S104/T104</f>
        <v>#DIV/0!</v>
      </c>
      <c r="AC104" s="5"/>
      <c r="AD104" s="260" t="e">
        <f>$B$14*((R104/$B$14)^0.5)*(0.45+2.42*$B$15*(R104/$B$14)^2/($B$16*#REF!*(1-$B$19^2)^0.75))</f>
        <v>#VALUE!</v>
      </c>
      <c r="AE104" s="5"/>
      <c r="AF104" s="5"/>
    </row>
    <row r="105" spans="1:32" x14ac:dyDescent="0.2">
      <c r="A105" s="5"/>
      <c r="B105" s="14"/>
      <c r="C105" s="263"/>
      <c r="D105" s="14"/>
      <c r="E105" s="5"/>
      <c r="F105" s="14"/>
      <c r="G105" s="265"/>
      <c r="H105" s="226"/>
      <c r="I105" s="5"/>
      <c r="J105" s="5"/>
      <c r="K105" s="5"/>
      <c r="L105" s="5"/>
      <c r="M105" s="5"/>
      <c r="N105" s="260"/>
      <c r="O105" s="5"/>
      <c r="P105" s="5"/>
      <c r="Q105" s="5"/>
      <c r="R105" s="14"/>
      <c r="S105" s="263"/>
      <c r="T105" s="14" t="s">
        <v>1139</v>
      </c>
      <c r="U105" s="459">
        <f>+E102/25.4</f>
        <v>283.46456692913387</v>
      </c>
      <c r="V105" s="14"/>
      <c r="W105" s="265"/>
      <c r="X105" s="226"/>
      <c r="Y105" s="5"/>
      <c r="Z105" s="5" t="e">
        <f>S108/S105</f>
        <v>#DIV/0!</v>
      </c>
      <c r="AA105" s="5"/>
      <c r="AB105" s="5" t="e">
        <f>S105/T108</f>
        <v>#DIV/0!</v>
      </c>
      <c r="AC105" s="5"/>
      <c r="AD105" s="260" t="e">
        <f>$B$14*((R105/$B$14)^0.5)*(0.45+2.42*$B$15*(R105/$B$14)^2/($B$16*R85*(1-$B$19^2)^0.75))</f>
        <v>#DIV/0!</v>
      </c>
      <c r="AE105" s="5"/>
      <c r="AF105" s="5"/>
    </row>
    <row r="106" spans="1:32" ht="12.75" customHeight="1" x14ac:dyDescent="0.2">
      <c r="A106" s="28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285"/>
      <c r="R106" s="5"/>
      <c r="S106" s="5"/>
      <c r="T106" s="5"/>
      <c r="U106" s="5"/>
      <c r="V106" s="5"/>
      <c r="W106" s="5"/>
      <c r="X106" s="5"/>
      <c r="Y106" s="5"/>
      <c r="Z106" s="5" t="e">
        <f>S106/Y106</f>
        <v>#DIV/0!</v>
      </c>
      <c r="AA106" s="5"/>
      <c r="AB106" s="5" t="e">
        <f>Y106/T109</f>
        <v>#DIV/0!</v>
      </c>
      <c r="AC106" s="5"/>
      <c r="AD106" s="5"/>
      <c r="AE106" s="5"/>
      <c r="AF106" s="5"/>
    </row>
    <row r="107" spans="1:32" ht="12.75" customHeight="1" x14ac:dyDescent="0.2">
      <c r="A107" s="5" t="s">
        <v>360</v>
      </c>
      <c r="B107" s="64" t="s">
        <v>1141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 t="s">
        <v>360</v>
      </c>
      <c r="R107" s="64" t="s">
        <v>1141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 ht="12.75" customHeight="1" x14ac:dyDescent="0.2">
      <c r="A108" s="5" t="s">
        <v>196</v>
      </c>
      <c r="B108" s="64" t="s">
        <v>1142</v>
      </c>
      <c r="C108" s="5"/>
      <c r="D108" s="5"/>
      <c r="E108" s="5"/>
      <c r="F108" s="5"/>
      <c r="G108" s="5"/>
      <c r="H108" s="5"/>
      <c r="I108" s="226"/>
      <c r="J108" s="5"/>
      <c r="K108" s="5"/>
      <c r="L108" s="5"/>
      <c r="M108" s="5"/>
      <c r="N108" s="5"/>
      <c r="O108" s="5"/>
      <c r="P108" s="5"/>
      <c r="Q108" s="5" t="s">
        <v>196</v>
      </c>
      <c r="R108" s="64" t="s">
        <v>1142</v>
      </c>
      <c r="S108" s="5"/>
      <c r="T108" s="5"/>
      <c r="U108" s="5"/>
      <c r="V108" s="5"/>
      <c r="W108" s="5"/>
      <c r="X108" s="5"/>
      <c r="Y108" s="226"/>
      <c r="Z108" s="5"/>
      <c r="AA108" s="5"/>
      <c r="AB108" s="5"/>
      <c r="AC108" s="5"/>
      <c r="AD108" s="5"/>
      <c r="AE108" s="5"/>
      <c r="AF108" s="5"/>
    </row>
    <row r="109" spans="1:32" ht="12.75" customHeight="1" x14ac:dyDescent="0.2">
      <c r="A109" s="5" t="s">
        <v>1143</v>
      </c>
      <c r="B109" s="900" t="s">
        <v>1144</v>
      </c>
      <c r="C109" s="809"/>
      <c r="D109" s="809"/>
      <c r="E109" s="809"/>
      <c r="F109" s="809"/>
      <c r="G109" s="809"/>
      <c r="H109" s="460"/>
      <c r="I109" s="226"/>
      <c r="J109" s="5"/>
      <c r="K109" s="5"/>
      <c r="L109" s="5"/>
      <c r="M109" s="5"/>
      <c r="N109" s="5"/>
      <c r="O109" s="5"/>
      <c r="P109" s="5"/>
      <c r="Q109" s="5" t="s">
        <v>1143</v>
      </c>
      <c r="R109" s="900" t="s">
        <v>1144</v>
      </c>
      <c r="S109" s="809"/>
      <c r="T109" s="809"/>
      <c r="U109" s="809"/>
      <c r="V109" s="809"/>
      <c r="W109" s="809"/>
      <c r="X109" s="460"/>
      <c r="Y109" s="226"/>
      <c r="Z109" s="5"/>
      <c r="AA109" s="5"/>
      <c r="AB109" s="5"/>
      <c r="AC109" s="5"/>
      <c r="AD109" s="5"/>
      <c r="AE109" s="5"/>
      <c r="AF109" s="5"/>
    </row>
    <row r="110" spans="1:32" ht="12.75" customHeight="1" x14ac:dyDescent="0.2">
      <c r="A110" s="5" t="s">
        <v>361</v>
      </c>
      <c r="B110" s="64" t="s">
        <v>1145</v>
      </c>
      <c r="C110" s="5"/>
      <c r="D110" s="5"/>
      <c r="E110" s="460"/>
      <c r="F110" s="460"/>
      <c r="G110" s="460"/>
      <c r="H110" s="460"/>
      <c r="I110" s="226"/>
      <c r="J110" s="5"/>
      <c r="K110" s="5"/>
      <c r="L110" s="5"/>
      <c r="M110" s="5"/>
      <c r="N110" s="5"/>
      <c r="O110" s="5"/>
      <c r="P110" s="5"/>
      <c r="Q110" s="5" t="s">
        <v>361</v>
      </c>
      <c r="R110" s="64" t="s">
        <v>1145</v>
      </c>
      <c r="S110" s="5"/>
      <c r="T110" s="5"/>
      <c r="U110" s="460"/>
      <c r="V110" s="460"/>
      <c r="W110" s="460"/>
      <c r="X110" s="460"/>
      <c r="Y110" s="226"/>
      <c r="Z110" s="5"/>
      <c r="AA110" s="5"/>
      <c r="AB110" s="5"/>
      <c r="AC110" s="5"/>
      <c r="AD110" s="5"/>
      <c r="AE110" s="5"/>
      <c r="AF110" s="5"/>
    </row>
    <row r="111" spans="1:32" ht="15.75" customHeight="1" x14ac:dyDescent="0.2">
      <c r="A111" s="5" t="s">
        <v>362</v>
      </c>
      <c r="B111" s="64" t="s">
        <v>1146</v>
      </c>
      <c r="C111" s="5"/>
      <c r="D111" s="5"/>
      <c r="E111" s="5"/>
      <c r="F111" s="5"/>
      <c r="G111" s="5"/>
      <c r="H111" s="5"/>
      <c r="I111" s="226"/>
      <c r="J111" s="5"/>
      <c r="K111" s="5"/>
      <c r="L111" s="5"/>
      <c r="M111" s="5"/>
      <c r="N111" s="5"/>
      <c r="O111" s="5"/>
      <c r="P111" s="5"/>
      <c r="Q111" s="5" t="s">
        <v>362</v>
      </c>
      <c r="R111" s="64" t="s">
        <v>1146</v>
      </c>
      <c r="S111" s="5"/>
      <c r="T111" s="5"/>
      <c r="U111" s="5"/>
      <c r="V111" s="5"/>
      <c r="W111" s="5"/>
      <c r="X111" s="5"/>
      <c r="Y111" s="226"/>
      <c r="Z111" s="5"/>
      <c r="AA111" s="5"/>
      <c r="AB111" s="5"/>
      <c r="AC111" s="5"/>
      <c r="AD111" s="5"/>
      <c r="AE111" s="5"/>
      <c r="AF111" s="5"/>
    </row>
    <row r="112" spans="1:32" x14ac:dyDescent="0.2">
      <c r="A112" s="5" t="s">
        <v>363</v>
      </c>
      <c r="B112" s="64" t="s">
        <v>1147</v>
      </c>
      <c r="C112" s="5"/>
      <c r="D112" s="5"/>
      <c r="E112" s="5"/>
      <c r="F112" s="5"/>
      <c r="G112" s="5"/>
      <c r="H112" s="5"/>
      <c r="I112" s="226"/>
      <c r="J112" s="5"/>
      <c r="K112" s="5"/>
      <c r="L112" s="5"/>
      <c r="M112" s="5"/>
      <c r="N112" s="5"/>
      <c r="O112" s="5"/>
      <c r="P112" s="5"/>
      <c r="Q112" s="5" t="s">
        <v>363</v>
      </c>
      <c r="R112" s="64" t="s">
        <v>1147</v>
      </c>
      <c r="S112" s="5"/>
      <c r="T112" s="5"/>
      <c r="U112" s="5"/>
      <c r="V112" s="5"/>
      <c r="W112" s="5"/>
      <c r="X112" s="5"/>
      <c r="Y112" s="226"/>
      <c r="Z112" s="5"/>
      <c r="AA112" s="5"/>
      <c r="AB112" s="5"/>
      <c r="AC112" s="5"/>
      <c r="AD112" s="5"/>
      <c r="AE112" s="5"/>
      <c r="AF112" s="5"/>
    </row>
    <row r="113" spans="1:32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ht="13.5" customHeight="1" thickBot="1" x14ac:dyDescent="0.25">
      <c r="A115" s="5"/>
      <c r="B115" s="5"/>
      <c r="C115" s="5"/>
      <c r="D115" s="5"/>
      <c r="E115" s="5"/>
      <c r="F115" s="5"/>
      <c r="G115" s="5"/>
      <c r="H115" s="5"/>
      <c r="I115" s="1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4"/>
      <c r="Z115" s="5"/>
      <c r="AA115" s="5"/>
      <c r="AB115" s="5"/>
      <c r="AC115" s="5"/>
      <c r="AD115" s="5"/>
      <c r="AE115" s="5"/>
      <c r="AF115" s="5"/>
    </row>
    <row r="116" spans="1:32" ht="17.25" customHeight="1" thickTop="1" thickBot="1" x14ac:dyDescent="0.3">
      <c r="A116" s="988"/>
      <c r="B116" s="823"/>
      <c r="C116" s="871"/>
      <c r="D116" s="934" t="str">
        <f>'Front Page'!$A$13</f>
        <v>Mechanical  Calculations</v>
      </c>
      <c r="E116" s="842"/>
      <c r="F116" s="842"/>
      <c r="G116" s="842"/>
      <c r="H116" s="859"/>
      <c r="I116" s="14"/>
      <c r="J116" s="5"/>
      <c r="K116" s="5"/>
      <c r="L116" s="5"/>
      <c r="M116" s="5"/>
      <c r="N116" s="5"/>
      <c r="O116" s="5"/>
      <c r="P116" s="5"/>
      <c r="Q116" s="988"/>
      <c r="R116" s="823"/>
      <c r="S116" s="871"/>
      <c r="T116" s="934" t="str">
        <f>'Front Page'!$A$13</f>
        <v>Mechanical  Calculations</v>
      </c>
      <c r="U116" s="842"/>
      <c r="V116" s="842"/>
      <c r="W116" s="842"/>
      <c r="X116" s="859"/>
      <c r="Y116" s="14"/>
      <c r="Z116" s="5"/>
      <c r="AA116" s="5"/>
      <c r="AB116" s="5"/>
      <c r="AC116" s="5"/>
      <c r="AD116" s="5"/>
      <c r="AE116" s="5"/>
      <c r="AF116" s="5"/>
    </row>
    <row r="117" spans="1:32" ht="16.5" customHeight="1" thickBot="1" x14ac:dyDescent="0.3">
      <c r="A117" s="825"/>
      <c r="B117" s="809"/>
      <c r="C117" s="989"/>
      <c r="D117" s="984"/>
      <c r="E117" s="831"/>
      <c r="F117" s="831"/>
      <c r="G117" s="831"/>
      <c r="H117" s="854"/>
      <c r="I117" s="5"/>
      <c r="J117" s="5"/>
      <c r="K117" s="5"/>
      <c r="L117" s="5"/>
      <c r="M117" s="5"/>
      <c r="N117" s="5"/>
      <c r="O117" s="5"/>
      <c r="P117" s="5"/>
      <c r="Q117" s="825"/>
      <c r="R117" s="809"/>
      <c r="S117" s="989"/>
      <c r="T117" s="984">
        <f>'Front Page'!$A$21</f>
        <v>0</v>
      </c>
      <c r="U117" s="831"/>
      <c r="V117" s="831"/>
      <c r="W117" s="831"/>
      <c r="X117" s="854"/>
      <c r="Y117" s="5"/>
      <c r="Z117" s="5"/>
      <c r="AA117" s="5"/>
      <c r="AB117" s="5"/>
      <c r="AC117" s="5"/>
      <c r="AD117" s="5"/>
      <c r="AE117" s="5"/>
      <c r="AF117" s="5"/>
    </row>
    <row r="118" spans="1:32" ht="16.5" customHeight="1" thickBot="1" x14ac:dyDescent="0.3">
      <c r="A118" s="827"/>
      <c r="B118" s="828"/>
      <c r="C118" s="857"/>
      <c r="D118" s="985" t="s">
        <v>1042</v>
      </c>
      <c r="E118" s="834"/>
      <c r="F118" s="834"/>
      <c r="G118" s="834"/>
      <c r="H118" s="986"/>
      <c r="I118" s="5"/>
      <c r="J118" s="5"/>
      <c r="K118" s="5"/>
      <c r="L118" s="5"/>
      <c r="M118" s="5"/>
      <c r="N118" s="5"/>
      <c r="O118" s="5"/>
      <c r="P118" s="5"/>
      <c r="Q118" s="827"/>
      <c r="R118" s="828"/>
      <c r="S118" s="857"/>
      <c r="T118" s="985" t="s">
        <v>1042</v>
      </c>
      <c r="U118" s="834"/>
      <c r="V118" s="834"/>
      <c r="W118" s="834"/>
      <c r="X118" s="986"/>
      <c r="Y118" s="5"/>
      <c r="Z118" s="5"/>
      <c r="AA118" s="5"/>
      <c r="AB118" s="5"/>
      <c r="AC118" s="5"/>
      <c r="AD118" s="5"/>
      <c r="AE118" s="5"/>
      <c r="AF118" s="5"/>
    </row>
    <row r="119" spans="1:32" ht="16.5" customHeight="1" thickTop="1" thickBot="1" x14ac:dyDescent="0.3">
      <c r="A119" s="873"/>
      <c r="B119" s="848"/>
      <c r="C119" s="865"/>
      <c r="D119" s="385" t="str">
        <f>'Front Page'!$D$4</f>
        <v>Doc Nº</v>
      </c>
      <c r="E119" s="980"/>
      <c r="F119" s="843"/>
      <c r="G119" s="980"/>
      <c r="H119" s="843"/>
      <c r="I119" s="5"/>
      <c r="J119" s="5"/>
      <c r="K119" s="5"/>
      <c r="L119" s="5"/>
      <c r="M119" s="5"/>
      <c r="N119" s="5"/>
      <c r="O119" s="5"/>
      <c r="P119" s="5"/>
      <c r="Q119" s="873"/>
      <c r="R119" s="848"/>
      <c r="S119" s="865"/>
      <c r="T119" s="385" t="str">
        <f>'Front Page'!$D$4</f>
        <v>Doc Nº</v>
      </c>
      <c r="U119" s="980"/>
      <c r="V119" s="843"/>
      <c r="W119" s="980"/>
      <c r="X119" s="843"/>
      <c r="Y119" s="5"/>
      <c r="Z119" s="5"/>
      <c r="AA119" s="5"/>
      <c r="AB119" s="5"/>
      <c r="AC119" s="5"/>
      <c r="AD119" s="5"/>
      <c r="AE119" s="5"/>
      <c r="AF119" s="5"/>
    </row>
    <row r="120" spans="1:32" ht="15.75" customHeight="1" thickBot="1" x14ac:dyDescent="0.3">
      <c r="A120" s="860"/>
      <c r="B120" s="851"/>
      <c r="C120" s="861"/>
      <c r="D120" s="386" t="str">
        <f>'Front Page'!$D$5</f>
        <v>Project</v>
      </c>
      <c r="E120" s="899"/>
      <c r="F120" s="835"/>
      <c r="G120" s="131" t="s">
        <v>5</v>
      </c>
      <c r="H120" s="132"/>
      <c r="I120" s="5"/>
      <c r="J120" s="5"/>
      <c r="K120" s="5"/>
      <c r="L120" s="5"/>
      <c r="M120" s="5"/>
      <c r="N120" s="5"/>
      <c r="O120" s="5"/>
      <c r="P120" s="5"/>
      <c r="Q120" s="860"/>
      <c r="R120" s="851"/>
      <c r="S120" s="861"/>
      <c r="T120" s="386" t="str">
        <f>'Front Page'!$D$5</f>
        <v>Project</v>
      </c>
      <c r="U120" s="899"/>
      <c r="V120" s="835"/>
      <c r="W120" s="131" t="s">
        <v>5</v>
      </c>
      <c r="X120" s="132"/>
      <c r="Y120" s="5"/>
      <c r="Z120" s="5"/>
      <c r="AA120" s="5"/>
      <c r="AB120" s="5"/>
      <c r="AC120" s="5"/>
      <c r="AD120" s="5"/>
      <c r="AE120" s="5"/>
      <c r="AF120" s="5"/>
    </row>
    <row r="121" spans="1:32" ht="16.5" customHeight="1" thickTop="1" thickBot="1" x14ac:dyDescent="0.3">
      <c r="A121" s="14"/>
      <c r="B121" s="14"/>
      <c r="C121" s="14"/>
      <c r="D121" s="105"/>
      <c r="E121" s="14"/>
      <c r="F121" s="14"/>
      <c r="G121" s="118"/>
      <c r="H121" s="14"/>
      <c r="I121" s="5"/>
      <c r="J121" s="5"/>
      <c r="K121" s="5"/>
      <c r="L121" s="5"/>
      <c r="M121" s="5"/>
      <c r="N121" s="5"/>
      <c r="O121" s="5"/>
      <c r="P121" s="5"/>
      <c r="Q121" s="14"/>
      <c r="R121" s="14"/>
      <c r="S121" s="14"/>
      <c r="T121" s="105"/>
      <c r="U121" s="14"/>
      <c r="V121" s="14"/>
      <c r="W121" s="118"/>
      <c r="X121" s="14"/>
      <c r="Y121" s="5"/>
      <c r="Z121" s="5"/>
      <c r="AA121" s="5"/>
      <c r="AB121" s="5"/>
      <c r="AC121" s="5"/>
      <c r="AD121" s="5"/>
      <c r="AE121" s="5"/>
      <c r="AF121" s="5"/>
    </row>
    <row r="122" spans="1:32" ht="13.5" customHeight="1" thickTop="1" x14ac:dyDescent="0.2">
      <c r="A122" s="4"/>
      <c r="B122" s="4"/>
      <c r="C122" s="4"/>
      <c r="D122" s="4"/>
      <c r="E122" s="4"/>
      <c r="F122" s="4"/>
      <c r="G122" s="4"/>
      <c r="H122" s="4"/>
      <c r="I122" s="5"/>
      <c r="J122" s="5"/>
      <c r="K122" s="5"/>
      <c r="L122" s="5"/>
      <c r="M122" s="5"/>
      <c r="N122" s="5"/>
      <c r="O122" s="5"/>
      <c r="P122" s="5"/>
      <c r="Q122" s="118" t="s">
        <v>1148</v>
      </c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spans="1:32" x14ac:dyDescent="0.2">
      <c r="A123" s="118" t="s">
        <v>1148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4"/>
      <c r="R124" s="14" t="s">
        <v>1149</v>
      </c>
      <c r="S124" s="14" t="s">
        <v>1150</v>
      </c>
      <c r="T124" s="14" t="s">
        <v>1151</v>
      </c>
      <c r="U124" s="14" t="s">
        <v>1152</v>
      </c>
      <c r="V124" s="14" t="s">
        <v>1153</v>
      </c>
      <c r="W124" s="14"/>
      <c r="X124" s="14" t="s">
        <v>1136</v>
      </c>
      <c r="Y124" s="5"/>
      <c r="Z124" s="5"/>
      <c r="AA124" s="5"/>
      <c r="AB124" s="5"/>
      <c r="AC124" s="5"/>
      <c r="AD124" s="5"/>
      <c r="AE124" s="5"/>
      <c r="AF124" s="5"/>
    </row>
    <row r="125" spans="1:32" x14ac:dyDescent="0.2">
      <c r="A125" s="14"/>
      <c r="B125" s="14" t="s">
        <v>1149</v>
      </c>
      <c r="C125" s="14" t="s">
        <v>1150</v>
      </c>
      <c r="D125" s="14" t="s">
        <v>1151</v>
      </c>
      <c r="E125" s="14" t="s">
        <v>1152</v>
      </c>
      <c r="F125" s="14" t="s">
        <v>1153</v>
      </c>
      <c r="G125" s="14"/>
      <c r="H125" s="14" t="s">
        <v>1136</v>
      </c>
      <c r="I125" s="5"/>
      <c r="J125" s="5"/>
      <c r="K125" s="5"/>
      <c r="L125" s="5"/>
      <c r="M125" s="5"/>
      <c r="N125" s="5"/>
      <c r="O125" s="5"/>
      <c r="P125" s="5"/>
      <c r="Q125" s="14"/>
      <c r="R125" s="170" t="s">
        <v>1154</v>
      </c>
      <c r="S125" s="170" t="s">
        <v>248</v>
      </c>
      <c r="T125" s="170" t="s">
        <v>248</v>
      </c>
      <c r="U125" s="170" t="s">
        <v>248</v>
      </c>
      <c r="V125" s="170" t="s">
        <v>1154</v>
      </c>
      <c r="W125" s="14"/>
      <c r="X125" s="14"/>
      <c r="Y125" s="5"/>
      <c r="Z125" s="5"/>
      <c r="AA125" s="5"/>
      <c r="AB125" s="5"/>
      <c r="AC125" s="5"/>
      <c r="AD125" s="5"/>
      <c r="AE125" s="5"/>
      <c r="AF125" s="5"/>
    </row>
    <row r="126" spans="1:32" x14ac:dyDescent="0.2">
      <c r="A126" s="14"/>
      <c r="B126" s="14" t="s">
        <v>1155</v>
      </c>
      <c r="C126" s="14" t="s">
        <v>247</v>
      </c>
      <c r="D126" s="14" t="s">
        <v>247</v>
      </c>
      <c r="E126" s="14" t="s">
        <v>247</v>
      </c>
      <c r="F126" s="14" t="s">
        <v>1155</v>
      </c>
      <c r="G126" s="14"/>
      <c r="H126" s="14"/>
      <c r="I126" s="5"/>
      <c r="J126" s="5"/>
      <c r="K126" s="5"/>
      <c r="L126" s="5"/>
      <c r="M126" s="5"/>
      <c r="N126" s="5"/>
      <c r="O126" s="5"/>
      <c r="P126" s="5"/>
      <c r="Q126" s="14">
        <v>1</v>
      </c>
      <c r="R126" s="14">
        <f t="shared" ref="R126:R131" si="29">B127/(25.4*25.4*25.4*25.4)</f>
        <v>3.3214581964066672</v>
      </c>
      <c r="S126" s="260">
        <f t="shared" ref="S126:U131" si="30">C127/25.4</f>
        <v>17.587583195145527</v>
      </c>
      <c r="T126" s="260">
        <f t="shared" si="30"/>
        <v>5.9055118110236222</v>
      </c>
      <c r="U126" s="260">
        <f t="shared" si="30"/>
        <v>1.3385826771653544</v>
      </c>
      <c r="V126" s="14">
        <f t="shared" ref="V126:V131" si="31">F127/(25.4*25.4*25.4*25.4)</f>
        <v>9.5869743478590443</v>
      </c>
      <c r="W126" s="264" t="str">
        <f t="shared" ref="W126:W131" si="32">IF(V126&gt;R126,"OK","ERROR")</f>
        <v>OK</v>
      </c>
      <c r="X126" s="417">
        <f t="shared" ref="X126:X131" si="33">V126/R126</f>
        <v>2.8863751343403181</v>
      </c>
      <c r="Y126" s="5"/>
      <c r="Z126" s="5"/>
      <c r="AA126" s="5"/>
      <c r="AB126" s="5"/>
      <c r="AC126" s="5"/>
      <c r="AD126" s="5"/>
      <c r="AE126" s="5"/>
      <c r="AF126" s="5"/>
    </row>
    <row r="127" spans="1:32" x14ac:dyDescent="0.2">
      <c r="A127" s="14">
        <v>1</v>
      </c>
      <c r="B127" s="14">
        <f t="shared" ref="B127:B132" si="34">($B$16*I71*(D90/2+D91/2)*$B$14^3)/(8*$B$15*($B$23-1))</f>
        <v>1382495.2801611517</v>
      </c>
      <c r="C127" s="260">
        <f t="shared" ref="C127:C132" si="35">1.1*B90*($B$14/B90)^0.5</f>
        <v>446.72461315669636</v>
      </c>
      <c r="D127" s="14">
        <f t="shared" ref="D127:D132" si="36">MIN(IF(C127*B90&gt;$B$38,$B$38/B90,C127),32*B90)</f>
        <v>150</v>
      </c>
      <c r="E127" s="260">
        <f t="shared" ref="E127:E132" si="37">($K$36*$K$35*($B$36+$K$36/2+B90)+$B$37*$B$36*($B$36+B90)/2+D127*B90^2/2)/($K$36*$K$35+$B$37*$B$36+D127*B90)</f>
        <v>34</v>
      </c>
      <c r="F127" s="14">
        <f t="shared" ref="F127:F132" si="38">$K$36*$K$35*($B$36+$B$37/2-E127)^2+$B$37*($B$36-E127)*(($B$36-E127)/2)^2+$B$37*E127*(E127/2)^2+B90*D127*(E127+B90/2)^2+$K$35*$K$36^3/12+$B$37*($B$36-E127)^3/12+$B$37*E127^3/12+D127*B90^3/12</f>
        <v>3990400</v>
      </c>
      <c r="G127" s="264" t="str">
        <f t="shared" ref="G127:G132" si="39">IF(F127&gt;B127,"OK","ERROR")</f>
        <v>OK</v>
      </c>
      <c r="H127" s="417">
        <f t="shared" ref="H127:H132" si="40">F127/B127</f>
        <v>2.8863751343403181</v>
      </c>
      <c r="I127" s="5"/>
      <c r="J127" s="64" t="s">
        <v>1061</v>
      </c>
      <c r="K127" s="5" t="e">
        <f>(445*($B$35/1000)^3/('Main Dimensions Calcs'!M18/1000)^2/5)^0.5</f>
        <v>#DIV/0!</v>
      </c>
      <c r="L127" s="5"/>
      <c r="M127" s="5"/>
      <c r="N127" s="5"/>
      <c r="O127" s="5"/>
      <c r="P127" s="5"/>
      <c r="Q127" s="14">
        <f>Q126+1</f>
        <v>2</v>
      </c>
      <c r="R127" s="14">
        <f t="shared" si="29"/>
        <v>3.3214581964066672</v>
      </c>
      <c r="S127" s="260">
        <f t="shared" si="30"/>
        <v>17.587583195145527</v>
      </c>
      <c r="T127" s="260">
        <f t="shared" si="30"/>
        <v>5.9055118110236222</v>
      </c>
      <c r="U127" s="260">
        <f t="shared" si="30"/>
        <v>1.3385826771653544</v>
      </c>
      <c r="V127" s="14">
        <f t="shared" si="31"/>
        <v>9.5869743478590443</v>
      </c>
      <c r="W127" s="264" t="str">
        <f t="shared" si="32"/>
        <v>OK</v>
      </c>
      <c r="X127" s="417">
        <f t="shared" si="33"/>
        <v>2.8863751343403181</v>
      </c>
      <c r="Y127" s="5"/>
      <c r="Z127" s="64" t="s">
        <v>1061</v>
      </c>
      <c r="AA127" s="5" t="e">
        <f>(445*($B$35/1000)^3/('Main Dimensions Calcs'!AC18/1000)^2/5)^0.5</f>
        <v>#DIV/0!</v>
      </c>
      <c r="AB127" s="5"/>
      <c r="AC127" s="5"/>
      <c r="AD127" s="5"/>
      <c r="AE127" s="5"/>
      <c r="AF127" s="5"/>
    </row>
    <row r="128" spans="1:32" x14ac:dyDescent="0.2">
      <c r="A128" s="14">
        <f>A127+1</f>
        <v>2</v>
      </c>
      <c r="B128" s="14">
        <f t="shared" si="34"/>
        <v>1382495.2801611517</v>
      </c>
      <c r="C128" s="260">
        <f t="shared" si="35"/>
        <v>446.72461315669636</v>
      </c>
      <c r="D128" s="14">
        <f t="shared" si="36"/>
        <v>150</v>
      </c>
      <c r="E128" s="260">
        <f t="shared" si="37"/>
        <v>34</v>
      </c>
      <c r="F128" s="14">
        <f t="shared" si="38"/>
        <v>3990400</v>
      </c>
      <c r="G128" s="264" t="str">
        <f t="shared" si="39"/>
        <v>OK</v>
      </c>
      <c r="H128" s="417">
        <f t="shared" si="40"/>
        <v>2.8863751343403181</v>
      </c>
      <c r="I128" s="14" t="s">
        <v>940</v>
      </c>
      <c r="J128" s="14" t="s">
        <v>247</v>
      </c>
      <c r="K128" s="5" t="s">
        <v>1156</v>
      </c>
      <c r="L128" s="14" t="s">
        <v>334</v>
      </c>
      <c r="M128" s="5"/>
      <c r="N128" s="5"/>
      <c r="O128" s="5"/>
      <c r="P128" s="5"/>
      <c r="Q128" s="14">
        <f>Q127+1</f>
        <v>3</v>
      </c>
      <c r="R128" s="14">
        <f t="shared" si="29"/>
        <v>3.0446700133727784</v>
      </c>
      <c r="S128" s="260">
        <f t="shared" si="30"/>
        <v>17.587583195145527</v>
      </c>
      <c r="T128" s="260">
        <f t="shared" si="30"/>
        <v>5.9055118110236222</v>
      </c>
      <c r="U128" s="260">
        <f t="shared" si="30"/>
        <v>1.3385826771653544</v>
      </c>
      <c r="V128" s="14">
        <f t="shared" si="31"/>
        <v>9.5869743478590443</v>
      </c>
      <c r="W128" s="264" t="str">
        <f t="shared" si="32"/>
        <v>OK</v>
      </c>
      <c r="X128" s="417">
        <f t="shared" si="33"/>
        <v>3.1487728738258012</v>
      </c>
      <c r="Y128" s="14" t="s">
        <v>940</v>
      </c>
      <c r="Z128" s="14" t="s">
        <v>247</v>
      </c>
      <c r="AA128" s="5" t="s">
        <v>1156</v>
      </c>
      <c r="AB128" s="14" t="s">
        <v>334</v>
      </c>
      <c r="AC128" s="5"/>
      <c r="AD128" s="5"/>
      <c r="AE128" s="5"/>
      <c r="AF128" s="5"/>
    </row>
    <row r="129" spans="1:32" x14ac:dyDescent="0.2">
      <c r="A129" s="14">
        <f>A128+1</f>
        <v>3</v>
      </c>
      <c r="B129" s="14">
        <f t="shared" si="34"/>
        <v>1267287.3401477225</v>
      </c>
      <c r="C129" s="260">
        <f t="shared" si="35"/>
        <v>446.72461315669636</v>
      </c>
      <c r="D129" s="14">
        <f t="shared" si="36"/>
        <v>150</v>
      </c>
      <c r="E129" s="260">
        <f t="shared" si="37"/>
        <v>34</v>
      </c>
      <c r="F129" s="14">
        <f t="shared" si="38"/>
        <v>3990400</v>
      </c>
      <c r="G129" s="264" t="str">
        <f t="shared" si="39"/>
        <v>OK</v>
      </c>
      <c r="H129" s="417">
        <f t="shared" si="40"/>
        <v>3.1487728738258012</v>
      </c>
      <c r="I129" s="14" t="s">
        <v>1157</v>
      </c>
      <c r="J129" s="5" t="s">
        <v>1158</v>
      </c>
      <c r="K129" s="5" t="s">
        <v>190</v>
      </c>
      <c r="L129" s="14" t="s">
        <v>1159</v>
      </c>
      <c r="M129" s="14" t="s">
        <v>1160</v>
      </c>
      <c r="N129" s="14" t="s">
        <v>1161</v>
      </c>
      <c r="O129" s="5"/>
      <c r="P129" s="5"/>
      <c r="Q129" s="14">
        <f>Q128+1</f>
        <v>4</v>
      </c>
      <c r="R129" s="14">
        <f t="shared" si="29"/>
        <v>2.7678818303388892</v>
      </c>
      <c r="S129" s="260">
        <f t="shared" si="30"/>
        <v>17.587583195145527</v>
      </c>
      <c r="T129" s="260">
        <f t="shared" si="30"/>
        <v>5.9055118110236222</v>
      </c>
      <c r="U129" s="260">
        <f t="shared" si="30"/>
        <v>1.3385826771653544</v>
      </c>
      <c r="V129" s="14">
        <f t="shared" si="31"/>
        <v>9.5869743478590443</v>
      </c>
      <c r="W129" s="264" t="str">
        <f t="shared" si="32"/>
        <v>OK</v>
      </c>
      <c r="X129" s="417">
        <f t="shared" si="33"/>
        <v>3.4636501612083817</v>
      </c>
      <c r="Y129" s="14" t="s">
        <v>1157</v>
      </c>
      <c r="Z129" s="5" t="s">
        <v>1158</v>
      </c>
      <c r="AA129" s="5" t="s">
        <v>190</v>
      </c>
      <c r="AB129" s="14" t="s">
        <v>1159</v>
      </c>
      <c r="AC129" s="14" t="s">
        <v>1160</v>
      </c>
      <c r="AD129" s="14" t="s">
        <v>1161</v>
      </c>
      <c r="AE129" s="5"/>
      <c r="AF129" s="5"/>
    </row>
    <row r="130" spans="1:32" x14ac:dyDescent="0.2">
      <c r="A130" s="14">
        <f>A129+1</f>
        <v>4</v>
      </c>
      <c r="B130" s="14">
        <f t="shared" si="34"/>
        <v>1152079.4001342931</v>
      </c>
      <c r="C130" s="260">
        <f t="shared" si="35"/>
        <v>446.72461315669636</v>
      </c>
      <c r="D130" s="14">
        <f t="shared" si="36"/>
        <v>150</v>
      </c>
      <c r="E130" s="260">
        <f t="shared" si="37"/>
        <v>34</v>
      </c>
      <c r="F130" s="14">
        <f t="shared" si="38"/>
        <v>3990400</v>
      </c>
      <c r="G130" s="264" t="str">
        <f t="shared" si="39"/>
        <v>OK</v>
      </c>
      <c r="H130" s="417">
        <f t="shared" si="40"/>
        <v>3.4636501612083817</v>
      </c>
      <c r="I130" s="5">
        <f>1000*B71*1000*(D90+D91)/2000</f>
        <v>7548</v>
      </c>
      <c r="J130" s="5">
        <f>13.4*($B$35/1000*B90)^0.5</f>
        <v>173.08733887838244</v>
      </c>
      <c r="K130" s="5" t="e">
        <f>37.5*($B$35/1000)^3*I130/($B$15*($K$127-1))</f>
        <v>#DIV/0!</v>
      </c>
      <c r="L130" s="5">
        <f>2*I130*$B$35/(1000*2*103)</f>
        <v>1528.3600776699029</v>
      </c>
      <c r="M130" s="5">
        <f>MAX(L130-2*J130*B90,0.5*L130)</f>
        <v>764.18003883495146</v>
      </c>
      <c r="N130" s="5" t="e">
        <f>K130*10000/(B127)</f>
        <v>#DIV/0!</v>
      </c>
      <c r="O130" s="5">
        <f>L130/B148</f>
        <v>3.0472922741938575</v>
      </c>
      <c r="P130" s="5"/>
      <c r="Q130" s="14">
        <f>Q129+1</f>
        <v>5</v>
      </c>
      <c r="R130" s="14">
        <f t="shared" si="29"/>
        <v>3.0446700133727784</v>
      </c>
      <c r="S130" s="260">
        <f t="shared" si="30"/>
        <v>17.587583195145527</v>
      </c>
      <c r="T130" s="260">
        <f t="shared" si="30"/>
        <v>5.9055118110236222</v>
      </c>
      <c r="U130" s="260">
        <f t="shared" si="30"/>
        <v>1.3385826771653544</v>
      </c>
      <c r="V130" s="14">
        <f t="shared" si="31"/>
        <v>9.5869743478590443</v>
      </c>
      <c r="W130" s="264" t="str">
        <f t="shared" si="32"/>
        <v>OK</v>
      </c>
      <c r="X130" s="417">
        <f t="shared" si="33"/>
        <v>3.1487728738258012</v>
      </c>
      <c r="Y130" s="5" t="e">
        <f>1000*#REF!*1000*(T90+T91)/2000</f>
        <v>#REF!</v>
      </c>
      <c r="Z130" s="5">
        <f>13.4*($B$35/1000*R90)^0.5</f>
        <v>34.343807611559946</v>
      </c>
      <c r="AA130" s="5" t="e">
        <f>37.5*($B$35/1000)^3*Y130/($B$15*($K$127-1))</f>
        <v>#REF!</v>
      </c>
      <c r="AB130" s="5" t="e">
        <f>2*Y130*$B$35/(1000*2*103)</f>
        <v>#REF!</v>
      </c>
      <c r="AC130" s="5" t="e">
        <f>MAX(AB130-2*Z130*R90,0.5*AB130)</f>
        <v>#REF!</v>
      </c>
      <c r="AD130" s="5" t="e">
        <f>AA130*10000/(R126)</f>
        <v>#REF!</v>
      </c>
      <c r="AE130" s="5" t="e">
        <f>AB130/R144</f>
        <v>#REF!</v>
      </c>
      <c r="AF130" s="5"/>
    </row>
    <row r="131" spans="1:32" ht="14.25" customHeight="1" x14ac:dyDescent="0.2">
      <c r="A131" s="14">
        <f>A130+1</f>
        <v>5</v>
      </c>
      <c r="B131" s="14">
        <f t="shared" si="34"/>
        <v>1267287.3401477225</v>
      </c>
      <c r="C131" s="260">
        <f t="shared" si="35"/>
        <v>446.72461315669636</v>
      </c>
      <c r="D131" s="14">
        <f t="shared" si="36"/>
        <v>150</v>
      </c>
      <c r="E131" s="260">
        <f t="shared" si="37"/>
        <v>34</v>
      </c>
      <c r="F131" s="14">
        <f t="shared" si="38"/>
        <v>3990400</v>
      </c>
      <c r="G131" s="264" t="str">
        <f t="shared" si="39"/>
        <v>OK</v>
      </c>
      <c r="H131" s="417">
        <f t="shared" si="40"/>
        <v>3.1487728738258012</v>
      </c>
      <c r="I131" s="5">
        <f>1000*B72*1000*(D91+D92)/2000</f>
        <v>7548</v>
      </c>
      <c r="J131" s="5">
        <f>13.4*($B$35/1000*B91)^0.5</f>
        <v>173.08733887838244</v>
      </c>
      <c r="K131" s="5" t="e">
        <f>37.5*($B$35/1000)^3*I131/($B$15*($K$127-1))</f>
        <v>#DIV/0!</v>
      </c>
      <c r="L131" s="5">
        <f>2*I131*$B$35/(1000*2*103)</f>
        <v>1528.3600776699029</v>
      </c>
      <c r="M131" s="5">
        <f>MAX(L131-2*J131*B91,0.5*L131)</f>
        <v>764.18003883495146</v>
      </c>
      <c r="N131" s="5" t="e">
        <f>K131*10000/(B128)</f>
        <v>#DIV/0!</v>
      </c>
      <c r="O131" s="5">
        <f>L131/B149</f>
        <v>3.0472922741938575</v>
      </c>
      <c r="P131" s="5"/>
      <c r="Q131" s="14">
        <f>Q130+1</f>
        <v>6</v>
      </c>
      <c r="R131" s="14">
        <f t="shared" si="29"/>
        <v>3.3214581964066672</v>
      </c>
      <c r="S131" s="260">
        <f t="shared" si="30"/>
        <v>17.587583195145527</v>
      </c>
      <c r="T131" s="260">
        <f t="shared" si="30"/>
        <v>5.9055118110236222</v>
      </c>
      <c r="U131" s="260">
        <f t="shared" si="30"/>
        <v>1.3385826771653544</v>
      </c>
      <c r="V131" s="14">
        <f t="shared" si="31"/>
        <v>9.5869743478590443</v>
      </c>
      <c r="W131" s="264" t="str">
        <f t="shared" si="32"/>
        <v>OK</v>
      </c>
      <c r="X131" s="417">
        <f t="shared" si="33"/>
        <v>2.8863751343403181</v>
      </c>
      <c r="Y131" s="5" t="e">
        <f>1000*#REF!*1000*(T91+T92)/2000</f>
        <v>#REF!</v>
      </c>
      <c r="Z131" s="5">
        <f>13.4*($B$35/1000*R91)^0.5</f>
        <v>34.343807611559946</v>
      </c>
      <c r="AA131" s="5" t="e">
        <f>37.5*($B$35/1000)^3*Y131/($B$15*($K$127-1))</f>
        <v>#REF!</v>
      </c>
      <c r="AB131" s="5" t="e">
        <f>2*Y131*$B$35/(1000*2*103)</f>
        <v>#REF!</v>
      </c>
      <c r="AC131" s="5" t="e">
        <f>MAX(AB131-2*Z131*R91,0.5*AB131)</f>
        <v>#REF!</v>
      </c>
      <c r="AD131" s="5" t="e">
        <f>AA131*10000/(R127)</f>
        <v>#REF!</v>
      </c>
      <c r="AE131" s="5" t="e">
        <f>AB131/R145</f>
        <v>#REF!</v>
      </c>
      <c r="AF131" s="5"/>
    </row>
    <row r="132" spans="1:32" ht="13.5" customHeight="1" x14ac:dyDescent="0.2">
      <c r="A132" s="14">
        <f>A131+1</f>
        <v>6</v>
      </c>
      <c r="B132" s="14">
        <f t="shared" si="34"/>
        <v>1382495.2801611517</v>
      </c>
      <c r="C132" s="260">
        <f t="shared" si="35"/>
        <v>446.72461315669636</v>
      </c>
      <c r="D132" s="14">
        <f t="shared" si="36"/>
        <v>150</v>
      </c>
      <c r="E132" s="260">
        <f t="shared" si="37"/>
        <v>34</v>
      </c>
      <c r="F132" s="14">
        <f t="shared" si="38"/>
        <v>3990400</v>
      </c>
      <c r="G132" s="264" t="str">
        <f t="shared" si="39"/>
        <v>OK</v>
      </c>
      <c r="H132" s="417">
        <f t="shared" si="40"/>
        <v>2.8863751343403181</v>
      </c>
      <c r="I132" s="5">
        <f>1000*B73*1000*(D92+D93)/2000</f>
        <v>6919</v>
      </c>
      <c r="J132" s="5">
        <f>13.4*($B$35/1000*B92)^0.5</f>
        <v>173.08733887838244</v>
      </c>
      <c r="K132" s="5" t="e">
        <f>37.5*($B$35/1000)^3*I132/($B$15*($K$127-1))</f>
        <v>#DIV/0!</v>
      </c>
      <c r="L132" s="5">
        <f>2*I132*$B$35/(1000*2*103)</f>
        <v>1400.9967378640777</v>
      </c>
      <c r="M132" s="5">
        <f>MAX(L132-2*J132*B92,0.5*L132)</f>
        <v>700.49836893203883</v>
      </c>
      <c r="N132" s="5" t="e">
        <f>K132*10000/(B129)</f>
        <v>#DIV/0!</v>
      </c>
      <c r="O132" s="5">
        <f>L132/B150</f>
        <v>2.7933512513443692</v>
      </c>
      <c r="P132" s="5"/>
      <c r="Q132" s="5"/>
      <c r="R132" s="5"/>
      <c r="S132" s="5"/>
      <c r="T132" s="5"/>
      <c r="U132" s="5"/>
      <c r="V132" s="5"/>
      <c r="W132" s="5"/>
      <c r="X132" s="5"/>
      <c r="Y132" s="5" t="e">
        <f>1000*#REF!*1000*(T92+T93)/2000</f>
        <v>#REF!</v>
      </c>
      <c r="Z132" s="5">
        <f>13.4*($B$35/1000*R92)^0.5</f>
        <v>34.343807611559946</v>
      </c>
      <c r="AA132" s="5" t="e">
        <f>37.5*($B$35/1000)^3*Y132/($B$15*($K$127-1))</f>
        <v>#REF!</v>
      </c>
      <c r="AB132" s="5" t="e">
        <f>2*Y132*$B$35/(1000*2*103)</f>
        <v>#REF!</v>
      </c>
      <c r="AC132" s="5" t="e">
        <f>MAX(AB132-2*Z132*R92,0.5*AB132)</f>
        <v>#REF!</v>
      </c>
      <c r="AD132" s="5" t="e">
        <f>AA132*10000/(R128)</f>
        <v>#REF!</v>
      </c>
      <c r="AE132" s="5" t="e">
        <f>AB132/R146</f>
        <v>#REF!</v>
      </c>
      <c r="AF132" s="5"/>
    </row>
    <row r="133" spans="1:32" ht="15" customHeight="1" x14ac:dyDescent="0.2">
      <c r="A133" s="14"/>
      <c r="B133" s="14"/>
      <c r="C133" s="260"/>
      <c r="D133" s="417"/>
      <c r="E133" s="260"/>
      <c r="F133" s="14"/>
      <c r="G133" s="264"/>
      <c r="H133" s="417"/>
      <c r="I133" s="5">
        <f>1000*B77*1000*(D96+D97)/2000</f>
        <v>3774</v>
      </c>
      <c r="J133" s="5">
        <f>13.4*($B$35/1000*B96)^0.5</f>
        <v>173.08733887838244</v>
      </c>
      <c r="K133" s="5" t="e">
        <f>37.5*($B$35/1000)^3*I133/($B$15*($K$127-1))</f>
        <v>#DIV/0!</v>
      </c>
      <c r="L133" s="5">
        <f>2*I133*$B$35/(1000*2*103)</f>
        <v>764.18003883495146</v>
      </c>
      <c r="M133" s="5">
        <f>MAX(L133-2*J133*B96,0.5*L133)</f>
        <v>382.09001941747573</v>
      </c>
      <c r="N133" s="5" t="e">
        <f>K133*10000/(#REF!)</f>
        <v>#DIV/0!</v>
      </c>
      <c r="O133" s="5">
        <f>L133/B154</f>
        <v>1.5236461370969288</v>
      </c>
      <c r="P133" s="5"/>
      <c r="Q133" s="5" t="s">
        <v>1162</v>
      </c>
      <c r="R133" s="993" t="s">
        <v>1163</v>
      </c>
      <c r="S133" s="809"/>
      <c r="T133" s="809"/>
      <c r="U133" s="809"/>
      <c r="V133" s="809"/>
      <c r="W133" s="809"/>
      <c r="X133" s="809"/>
      <c r="Y133" s="5"/>
      <c r="Z133" s="5"/>
      <c r="AA133" s="5"/>
      <c r="AB133" s="5"/>
      <c r="AC133" s="5"/>
      <c r="AD133" s="5"/>
      <c r="AE133" s="5"/>
      <c r="AF133" s="5"/>
    </row>
    <row r="134" spans="1:32" ht="13.35" customHeight="1" x14ac:dyDescent="0.2">
      <c r="A134" s="5" t="s">
        <v>1162</v>
      </c>
      <c r="B134" s="901" t="s">
        <v>1163</v>
      </c>
      <c r="C134" s="809"/>
      <c r="D134" s="809"/>
      <c r="E134" s="809"/>
      <c r="F134" s="809"/>
      <c r="G134" s="809"/>
      <c r="H134" s="809"/>
      <c r="I134" s="5"/>
      <c r="J134" s="5"/>
      <c r="K134" s="5"/>
      <c r="L134" s="5"/>
      <c r="M134" s="5"/>
      <c r="N134" s="5"/>
      <c r="O134" s="5"/>
      <c r="P134" s="5"/>
      <c r="Q134" s="5" t="s">
        <v>1149</v>
      </c>
      <c r="R134" s="462" t="s">
        <v>1164</v>
      </c>
      <c r="S134" s="463"/>
      <c r="T134" s="5"/>
      <c r="U134" s="5"/>
      <c r="V134" s="5"/>
      <c r="W134" s="5"/>
      <c r="X134" s="5"/>
      <c r="Y134" s="5" t="e">
        <f>1000*#REF!*1000*(T96+T97)/2000</f>
        <v>#REF!</v>
      </c>
      <c r="Z134" s="5">
        <f>13.4*($B$35/1000*R96)^0.5</f>
        <v>34.343807611559946</v>
      </c>
      <c r="AA134" s="5" t="e">
        <f>37.5*($B$35/1000)^3*Y134/($B$15*($K$127-1))</f>
        <v>#REF!</v>
      </c>
      <c r="AB134" s="5" t="e">
        <f>2*Y134*$B$35/(1000*2*103)</f>
        <v>#REF!</v>
      </c>
      <c r="AC134" s="5" t="e">
        <f>MAX(AB134-2*Z134*R96,0.5*AB134)</f>
        <v>#REF!</v>
      </c>
      <c r="AD134" s="5" t="e">
        <f>AA134*10000/(#REF!)</f>
        <v>#REF!</v>
      </c>
      <c r="AE134" s="5" t="e">
        <f>AB134/R150</f>
        <v>#REF!</v>
      </c>
      <c r="AF134" s="5"/>
    </row>
    <row r="135" spans="1:32" x14ac:dyDescent="0.2">
      <c r="A135" s="5" t="s">
        <v>1149</v>
      </c>
      <c r="B135" s="64" t="s">
        <v>1164</v>
      </c>
      <c r="C135" s="263"/>
      <c r="D135" s="5"/>
      <c r="E135" s="263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 t="s">
        <v>1150</v>
      </c>
      <c r="R135" s="993" t="s">
        <v>1165</v>
      </c>
      <c r="S135" s="809"/>
      <c r="T135" s="809"/>
      <c r="U135" s="809"/>
      <c r="V135" s="809"/>
      <c r="W135" s="809"/>
      <c r="X135" s="809"/>
      <c r="Y135" s="5"/>
      <c r="Z135" s="5"/>
      <c r="AA135" s="5"/>
      <c r="AB135" s="5"/>
      <c r="AC135" s="5"/>
      <c r="AD135" s="5"/>
      <c r="AE135" s="5"/>
      <c r="AF135" s="5"/>
    </row>
    <row r="136" spans="1:32" ht="12.6" customHeight="1" x14ac:dyDescent="0.2">
      <c r="A136" s="5" t="s">
        <v>1150</v>
      </c>
      <c r="B136" s="901" t="s">
        <v>1165</v>
      </c>
      <c r="C136" s="809"/>
      <c r="D136" s="809"/>
      <c r="E136" s="809"/>
      <c r="F136" s="809"/>
      <c r="G136" s="809"/>
      <c r="H136" s="809"/>
      <c r="I136" s="5"/>
      <c r="J136" s="5"/>
      <c r="K136" s="5" t="e">
        <f>F127/K130/10000</f>
        <v>#DIV/0!</v>
      </c>
      <c r="L136" s="5"/>
      <c r="M136" s="5">
        <f>D148/M130</f>
        <v>1.5703105799904014</v>
      </c>
      <c r="N136" s="5"/>
      <c r="O136" s="5"/>
      <c r="P136" s="5"/>
      <c r="Q136" s="5" t="s">
        <v>1151</v>
      </c>
      <c r="R136" s="992" t="s">
        <v>1166</v>
      </c>
      <c r="S136" s="809"/>
      <c r="T136" s="809"/>
      <c r="U136" s="809"/>
      <c r="V136" s="809"/>
      <c r="W136" s="809"/>
      <c r="X136" s="809"/>
      <c r="Y136" s="5"/>
      <c r="Z136" s="5"/>
      <c r="AA136" s="5" t="e">
        <f>V126/AA130/10000</f>
        <v>#REF!</v>
      </c>
      <c r="AB136" s="5"/>
      <c r="AC136" s="5" t="e">
        <f>T144/AC130</f>
        <v>#REF!</v>
      </c>
      <c r="AD136" s="5"/>
      <c r="AE136" s="5"/>
      <c r="AF136" s="5"/>
    </row>
    <row r="137" spans="1:32" x14ac:dyDescent="0.2">
      <c r="A137" s="5"/>
      <c r="B137" s="809"/>
      <c r="C137" s="809"/>
      <c r="D137" s="809"/>
      <c r="E137" s="809"/>
      <c r="F137" s="809"/>
      <c r="G137" s="809"/>
      <c r="H137" s="809"/>
      <c r="I137" s="5"/>
      <c r="J137" s="5"/>
      <c r="K137" s="5" t="e">
        <f>F128/K131/10000</f>
        <v>#DIV/0!</v>
      </c>
      <c r="L137" s="5"/>
      <c r="M137" s="5">
        <f>D149/M131</f>
        <v>1.5703105799904014</v>
      </c>
      <c r="N137" s="5"/>
      <c r="O137" s="5"/>
      <c r="P137" s="5"/>
      <c r="Q137" s="5" t="s">
        <v>1152</v>
      </c>
      <c r="R137" s="462" t="s">
        <v>1167</v>
      </c>
      <c r="S137" s="462"/>
      <c r="T137" s="462"/>
      <c r="U137" s="462"/>
      <c r="V137" s="461"/>
      <c r="W137" s="461"/>
      <c r="X137" s="461"/>
      <c r="Y137" s="5"/>
      <c r="Z137" s="5"/>
      <c r="AA137" s="5" t="e">
        <f>V127/AA131/10000</f>
        <v>#REF!</v>
      </c>
      <c r="AB137" s="5"/>
      <c r="AC137" s="5" t="e">
        <f>T145/AC131</f>
        <v>#REF!</v>
      </c>
      <c r="AD137" s="5"/>
      <c r="AE137" s="5"/>
      <c r="AF137" s="5"/>
    </row>
    <row r="138" spans="1:32" ht="12.6" customHeight="1" x14ac:dyDescent="0.2">
      <c r="A138" s="5" t="s">
        <v>1151</v>
      </c>
      <c r="B138" s="900" t="s">
        <v>1166</v>
      </c>
      <c r="C138" s="809"/>
      <c r="D138" s="809"/>
      <c r="E138" s="809"/>
      <c r="F138" s="809"/>
      <c r="G138" s="809"/>
      <c r="H138" s="809"/>
      <c r="I138" s="5"/>
      <c r="J138" s="5"/>
      <c r="K138" s="5" t="e">
        <f>F129/K132/10000</f>
        <v>#DIV/0!</v>
      </c>
      <c r="L138" s="5"/>
      <c r="M138" s="5">
        <f>D150/M132</f>
        <v>1.7130660872622561</v>
      </c>
      <c r="N138" s="5"/>
      <c r="O138" s="5"/>
      <c r="P138" s="5"/>
      <c r="Q138" s="5" t="s">
        <v>1153</v>
      </c>
      <c r="R138" s="462" t="s">
        <v>1168</v>
      </c>
      <c r="S138" s="462"/>
      <c r="T138" s="462"/>
      <c r="U138" s="462"/>
      <c r="V138" s="464"/>
      <c r="W138" s="464"/>
      <c r="X138" s="464"/>
      <c r="Y138" s="5"/>
      <c r="Z138" s="5"/>
      <c r="AA138" s="5" t="e">
        <f>V128/AA132/10000</f>
        <v>#REF!</v>
      </c>
      <c r="AB138" s="5"/>
      <c r="AC138" s="5" t="e">
        <f>T146/AC132</f>
        <v>#REF!</v>
      </c>
      <c r="AD138" s="5"/>
      <c r="AE138" s="5"/>
      <c r="AF138" s="5"/>
    </row>
    <row r="139" spans="1:32" x14ac:dyDescent="0.2">
      <c r="A139" s="5"/>
      <c r="B139" s="809"/>
      <c r="C139" s="809"/>
      <c r="D139" s="809"/>
      <c r="E139" s="809"/>
      <c r="F139" s="809"/>
      <c r="G139" s="809"/>
      <c r="H139" s="809"/>
      <c r="I139" s="5"/>
      <c r="J139" s="5"/>
      <c r="K139" s="5" t="e">
        <f>F130/#REF!/10000</f>
        <v>#REF!</v>
      </c>
      <c r="L139" s="5"/>
      <c r="M139" s="5" t="e">
        <f>D151/#REF!</f>
        <v>#REF!</v>
      </c>
      <c r="N139" s="5"/>
      <c r="O139" s="5"/>
      <c r="P139" s="5"/>
      <c r="Q139" s="5"/>
      <c r="R139" s="464"/>
      <c r="S139" s="464"/>
      <c r="T139" s="464"/>
      <c r="U139" s="464"/>
      <c r="V139" s="464"/>
      <c r="W139" s="464"/>
      <c r="X139" s="464"/>
      <c r="Y139" s="5"/>
      <c r="Z139" s="5"/>
      <c r="AA139" s="5" t="e">
        <f>V129/#REF!/10000</f>
        <v>#REF!</v>
      </c>
      <c r="AB139" s="5"/>
      <c r="AC139" s="5" t="e">
        <f>T147/#REF!</f>
        <v>#REF!</v>
      </c>
      <c r="AD139" s="5"/>
      <c r="AE139" s="5"/>
      <c r="AF139" s="5"/>
    </row>
    <row r="140" spans="1:32" x14ac:dyDescent="0.2">
      <c r="A140" s="5"/>
      <c r="B140" s="809"/>
      <c r="C140" s="809"/>
      <c r="D140" s="809"/>
      <c r="E140" s="809"/>
      <c r="F140" s="809"/>
      <c r="G140" s="809"/>
      <c r="H140" s="809"/>
      <c r="I140" s="5"/>
      <c r="J140" s="5"/>
      <c r="K140" s="5" t="e">
        <f>F131/#REF!/10000</f>
        <v>#REF!</v>
      </c>
      <c r="L140" s="5"/>
      <c r="M140" s="5" t="e">
        <f>D152/#REF!</f>
        <v>#REF!</v>
      </c>
      <c r="N140" s="5"/>
      <c r="O140" s="5"/>
      <c r="P140" s="5"/>
      <c r="Q140" s="121" t="s">
        <v>1169</v>
      </c>
      <c r="R140" s="5"/>
      <c r="S140" s="5"/>
      <c r="T140" s="5"/>
      <c r="U140" s="5"/>
      <c r="V140" s="5"/>
      <c r="W140" s="5"/>
      <c r="X140" s="464"/>
      <c r="Y140" s="5"/>
      <c r="Z140" s="5"/>
      <c r="AA140" s="5" t="e">
        <f>V130/#REF!/10000</f>
        <v>#REF!</v>
      </c>
      <c r="AB140" s="5"/>
      <c r="AC140" s="5" t="e">
        <f>T148/#REF!</f>
        <v>#REF!</v>
      </c>
      <c r="AD140" s="5"/>
      <c r="AE140" s="5"/>
      <c r="AF140" s="5"/>
    </row>
    <row r="141" spans="1:32" x14ac:dyDescent="0.2">
      <c r="A141" s="5" t="s">
        <v>1152</v>
      </c>
      <c r="B141" s="64" t="s">
        <v>1167</v>
      </c>
      <c r="C141" s="5"/>
      <c r="D141" s="5"/>
      <c r="E141" s="5"/>
      <c r="F141" s="5"/>
      <c r="G141" s="5"/>
      <c r="H141" s="218"/>
      <c r="I141" s="5"/>
      <c r="J141" s="5"/>
      <c r="K141" s="5" t="e">
        <f>F132/#REF!/10000</f>
        <v>#REF!</v>
      </c>
      <c r="L141" s="5"/>
      <c r="M141" s="5" t="e">
        <f>D153/#REF!</f>
        <v>#REF!</v>
      </c>
      <c r="N141" s="5"/>
      <c r="O141" s="5"/>
      <c r="P141" s="5"/>
      <c r="Q141" s="5"/>
      <c r="R141" s="14"/>
      <c r="S141" s="14"/>
      <c r="T141" s="14"/>
      <c r="U141" s="14"/>
      <c r="V141" s="14"/>
      <c r="W141" s="5"/>
      <c r="X141" s="465"/>
      <c r="Y141" s="5"/>
      <c r="Z141" s="5"/>
      <c r="AA141" s="5" t="e">
        <f>V131/#REF!/10000</f>
        <v>#REF!</v>
      </c>
      <c r="AB141" s="5"/>
      <c r="AC141" s="5" t="e">
        <f>T149/#REF!</f>
        <v>#REF!</v>
      </c>
      <c r="AD141" s="5"/>
      <c r="AE141" s="5"/>
      <c r="AF141" s="5"/>
    </row>
    <row r="142" spans="1:32" x14ac:dyDescent="0.2">
      <c r="A142" s="5" t="s">
        <v>1153</v>
      </c>
      <c r="B142" s="64" t="s">
        <v>1168</v>
      </c>
      <c r="C142" s="5"/>
      <c r="D142" s="5"/>
      <c r="E142" s="5"/>
      <c r="F142" s="5"/>
      <c r="G142" s="5"/>
      <c r="H142" s="5"/>
      <c r="I142" s="5"/>
      <c r="J142" s="5"/>
      <c r="K142" s="5" t="e">
        <f>#REF!/K133/10000</f>
        <v>#REF!</v>
      </c>
      <c r="L142" s="5"/>
      <c r="M142" s="5">
        <f>D154/M133</f>
        <v>3.1406211599808027</v>
      </c>
      <c r="N142" s="5"/>
      <c r="O142" s="5"/>
      <c r="P142" s="5"/>
      <c r="Q142" s="14"/>
      <c r="R142" s="14" t="s">
        <v>1170</v>
      </c>
      <c r="S142" s="14" t="s">
        <v>1171</v>
      </c>
      <c r="T142" s="14" t="s">
        <v>1172</v>
      </c>
      <c r="U142" s="218" t="s">
        <v>1173</v>
      </c>
      <c r="V142" s="14"/>
      <c r="W142" s="5"/>
      <c r="X142" s="462"/>
      <c r="Y142" s="5"/>
      <c r="Z142" s="5"/>
      <c r="AA142" s="5" t="e">
        <f>#REF!/AA134/10000</f>
        <v>#REF!</v>
      </c>
      <c r="AB142" s="5"/>
      <c r="AC142" s="5" t="e">
        <f>T150/AC134</f>
        <v>#REF!</v>
      </c>
      <c r="AD142" s="5"/>
      <c r="AE142" s="5"/>
      <c r="AF142" s="5"/>
    </row>
    <row r="143" spans="1:32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 t="e">
        <f>#REF!/#REF!/10000</f>
        <v>#REF!</v>
      </c>
      <c r="L143" s="5"/>
      <c r="M143" s="5" t="e">
        <f>D156/#REF!</f>
        <v>#REF!</v>
      </c>
      <c r="N143" s="5"/>
      <c r="O143" s="5"/>
      <c r="P143" s="5"/>
      <c r="Q143" s="14"/>
      <c r="R143" s="170" t="s">
        <v>1174</v>
      </c>
      <c r="S143" s="170" t="s">
        <v>1174</v>
      </c>
      <c r="T143" s="170" t="s">
        <v>1174</v>
      </c>
      <c r="U143" s="111" t="s">
        <v>1174</v>
      </c>
      <c r="V143" s="14"/>
      <c r="W143" s="5"/>
      <c r="X143" s="5"/>
      <c r="Y143" s="5"/>
      <c r="Z143" s="5"/>
      <c r="AA143" s="5" t="e">
        <f>#REF!/#REF!/10000</f>
        <v>#REF!</v>
      </c>
      <c r="AB143" s="5"/>
      <c r="AC143" s="5" t="e">
        <f>#REF!/#REF!</f>
        <v>#REF!</v>
      </c>
      <c r="AD143" s="5"/>
      <c r="AE143" s="5"/>
      <c r="AF143" s="5"/>
    </row>
    <row r="144" spans="1:32" ht="18.600000000000001" customHeight="1" x14ac:dyDescent="0.2">
      <c r="A144" s="121" t="s">
        <v>1169</v>
      </c>
      <c r="B144" s="5"/>
      <c r="C144" s="5"/>
      <c r="D144" s="5"/>
      <c r="E144" s="5"/>
      <c r="F144" s="5"/>
      <c r="G144" s="5"/>
      <c r="H144" s="5"/>
      <c r="I144" s="5"/>
      <c r="J144" s="5"/>
      <c r="K144" s="5" t="e">
        <f>#REF!/K135/10000</f>
        <v>#REF!</v>
      </c>
      <c r="L144" s="5"/>
      <c r="M144" s="5" t="e">
        <f>#REF!/M135</f>
        <v>#REF!</v>
      </c>
      <c r="N144" s="5"/>
      <c r="O144" s="5"/>
      <c r="P144" s="5"/>
      <c r="Q144" s="14">
        <v>1</v>
      </c>
      <c r="R144" s="417">
        <f t="shared" ref="R144:U150" si="41">B148/(25.4*25.4)</f>
        <v>0.77739929260338536</v>
      </c>
      <c r="S144" s="417">
        <f t="shared" si="41"/>
        <v>2.7774698601965859</v>
      </c>
      <c r="T144" s="417">
        <f t="shared" si="41"/>
        <v>1.8600037200074402</v>
      </c>
      <c r="U144" s="417">
        <f t="shared" si="41"/>
        <v>3.7200074400148804</v>
      </c>
      <c r="V144" s="264" t="str">
        <f t="shared" ref="V144:V150" si="42">IF(U144&gt;R144,"OK","ERROR")</f>
        <v>OK</v>
      </c>
      <c r="W144" s="265">
        <f t="shared" ref="W144:W149" si="43">U144/R144</f>
        <v>4.7851952984896258</v>
      </c>
      <c r="X144" s="5"/>
      <c r="Y144" s="5"/>
      <c r="Z144" s="5"/>
      <c r="AA144" s="5" t="e">
        <f>#REF!/AA135/10000</f>
        <v>#REF!</v>
      </c>
      <c r="AB144" s="5"/>
      <c r="AC144" s="5" t="e">
        <f>T152/AC135</f>
        <v>#DIV/0!</v>
      </c>
      <c r="AD144" s="5"/>
      <c r="AE144" s="5"/>
      <c r="AF144" s="5"/>
    </row>
    <row r="145" spans="1:32" ht="14.25" customHeight="1" x14ac:dyDescent="0.2">
      <c r="A145" s="5"/>
      <c r="B145" s="14"/>
      <c r="C145" s="14"/>
      <c r="D145" s="14"/>
      <c r="E145" s="14"/>
      <c r="F145" s="14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4">
        <f t="shared" ref="Q145:Q150" si="44">Q144+1</f>
        <v>2</v>
      </c>
      <c r="R145" s="417">
        <f t="shared" si="41"/>
        <v>0.77739929260338536</v>
      </c>
      <c r="S145" s="417">
        <f t="shared" si="41"/>
        <v>2.7774698601965859</v>
      </c>
      <c r="T145" s="417">
        <f t="shared" si="41"/>
        <v>1.8600037200074402</v>
      </c>
      <c r="U145" s="417">
        <f t="shared" si="41"/>
        <v>3.7200074400148804</v>
      </c>
      <c r="V145" s="264" t="str">
        <f t="shared" si="42"/>
        <v>OK</v>
      </c>
      <c r="W145" s="265">
        <f t="shared" si="43"/>
        <v>4.7851952984896258</v>
      </c>
      <c r="X145" s="5"/>
      <c r="Y145" s="5"/>
      <c r="Z145" s="5"/>
      <c r="AA145" s="5"/>
      <c r="AB145" s="5"/>
      <c r="AC145" s="5"/>
      <c r="AD145" s="5"/>
      <c r="AE145" s="5"/>
      <c r="AF145" s="5"/>
    </row>
    <row r="146" spans="1:32" ht="11.45" customHeight="1" x14ac:dyDescent="0.2">
      <c r="A146" s="14"/>
      <c r="B146" s="14" t="s">
        <v>1170</v>
      </c>
      <c r="C146" s="14" t="s">
        <v>1171</v>
      </c>
      <c r="D146" s="14" t="s">
        <v>1172</v>
      </c>
      <c r="E146" s="218" t="s">
        <v>1173</v>
      </c>
      <c r="F146" s="1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4">
        <f t="shared" si="44"/>
        <v>3</v>
      </c>
      <c r="R146" s="417">
        <f t="shared" si="41"/>
        <v>0.77739929260338536</v>
      </c>
      <c r="S146" s="417">
        <f t="shared" si="41"/>
        <v>2.7774698601965859</v>
      </c>
      <c r="T146" s="417">
        <f t="shared" si="41"/>
        <v>1.8600037200074402</v>
      </c>
      <c r="U146" s="417">
        <f t="shared" si="41"/>
        <v>3.7200074400148804</v>
      </c>
      <c r="V146" s="264" t="str">
        <f t="shared" si="42"/>
        <v>OK</v>
      </c>
      <c r="W146" s="265">
        <f t="shared" si="43"/>
        <v>4.7851952984896258</v>
      </c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 x14ac:dyDescent="0.2">
      <c r="A147" s="14"/>
      <c r="B147" s="14" t="s">
        <v>334</v>
      </c>
      <c r="C147" s="14" t="s">
        <v>334</v>
      </c>
      <c r="D147" s="14" t="s">
        <v>334</v>
      </c>
      <c r="E147" s="218" t="s">
        <v>334</v>
      </c>
      <c r="F147" s="1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14">
        <f t="shared" si="44"/>
        <v>4</v>
      </c>
      <c r="R147" s="417">
        <f t="shared" si="41"/>
        <v>0.64783274383615441</v>
      </c>
      <c r="S147" s="417">
        <f t="shared" si="41"/>
        <v>2.7774698601965859</v>
      </c>
      <c r="T147" s="417">
        <f t="shared" si="41"/>
        <v>1.8600037200074402</v>
      </c>
      <c r="U147" s="417">
        <f t="shared" si="41"/>
        <v>3.7200074400148804</v>
      </c>
      <c r="V147" s="264" t="str">
        <f t="shared" si="42"/>
        <v>OK</v>
      </c>
      <c r="W147" s="265">
        <f t="shared" si="43"/>
        <v>5.7422343581875515</v>
      </c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 x14ac:dyDescent="0.2">
      <c r="A148" s="14">
        <v>1</v>
      </c>
      <c r="B148" s="417">
        <f t="shared" ref="B148:B155" si="45">B71*D90*$B$14/(2*$B$17)</f>
        <v>501.54692761600006</v>
      </c>
      <c r="C148" s="417">
        <f t="shared" ref="C148:C155" si="46">0.78*($B$14/2*B90)^0.5*B90</f>
        <v>1791.9124550044291</v>
      </c>
      <c r="D148" s="14">
        <f t="shared" ref="D148:D155" si="47">$K$35*$K$36+$B$36*$B$37</f>
        <v>1200</v>
      </c>
      <c r="E148" s="260">
        <f t="shared" ref="E148:E155" si="48">IF(C148&lt;D148,C148+D148,D148*2)</f>
        <v>2400</v>
      </c>
      <c r="F148" s="264" t="str">
        <f t="shared" ref="F148:F155" si="49">IF(E148&gt;B148,"OK","ERROR")</f>
        <v>OK</v>
      </c>
      <c r="G148" s="265">
        <f t="shared" ref="G148:G153" si="50">E148/B148</f>
        <v>4.7851952984896258</v>
      </c>
      <c r="H148" s="5"/>
      <c r="I148" s="5"/>
      <c r="J148" s="5"/>
      <c r="K148" s="5"/>
      <c r="L148" s="5"/>
      <c r="M148" s="5"/>
      <c r="N148" s="5"/>
      <c r="O148" s="5"/>
      <c r="P148" s="5"/>
      <c r="Q148" s="14">
        <f t="shared" si="44"/>
        <v>5</v>
      </c>
      <c r="R148" s="417">
        <f t="shared" si="41"/>
        <v>0.64783274383615441</v>
      </c>
      <c r="S148" s="417">
        <f t="shared" si="41"/>
        <v>2.7774698601965859</v>
      </c>
      <c r="T148" s="417">
        <f t="shared" si="41"/>
        <v>1.8600037200074402</v>
      </c>
      <c r="U148" s="417">
        <f t="shared" si="41"/>
        <v>3.7200074400148804</v>
      </c>
      <c r="V148" s="264" t="str">
        <f t="shared" si="42"/>
        <v>OK</v>
      </c>
      <c r="W148" s="265">
        <f t="shared" si="43"/>
        <v>5.7422343581875515</v>
      </c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 ht="12.75" customHeight="1" x14ac:dyDescent="0.2">
      <c r="A149" s="14">
        <f t="shared" ref="A149:A155" si="51">A148+1</f>
        <v>2</v>
      </c>
      <c r="B149" s="417">
        <f t="shared" si="45"/>
        <v>501.54692761600006</v>
      </c>
      <c r="C149" s="417">
        <f t="shared" si="46"/>
        <v>1791.9124550044291</v>
      </c>
      <c r="D149" s="14">
        <f t="shared" si="47"/>
        <v>1200</v>
      </c>
      <c r="E149" s="260">
        <f t="shared" si="48"/>
        <v>2400</v>
      </c>
      <c r="F149" s="264" t="str">
        <f t="shared" si="49"/>
        <v>OK</v>
      </c>
      <c r="G149" s="265">
        <f t="shared" si="50"/>
        <v>4.7851952984896258</v>
      </c>
      <c r="H149" s="5"/>
      <c r="I149" s="5"/>
      <c r="J149" s="5"/>
      <c r="K149" s="5"/>
      <c r="L149" s="5"/>
      <c r="M149" s="5"/>
      <c r="N149" s="5"/>
      <c r="O149" s="5"/>
      <c r="P149" s="5"/>
      <c r="Q149" s="14">
        <f t="shared" si="44"/>
        <v>6</v>
      </c>
      <c r="R149" s="417">
        <f t="shared" si="41"/>
        <v>0.77739929260338536</v>
      </c>
      <c r="S149" s="417">
        <f t="shared" si="41"/>
        <v>2.7774698601965859</v>
      </c>
      <c r="T149" s="417">
        <f t="shared" si="41"/>
        <v>1.8600037200074402</v>
      </c>
      <c r="U149" s="417">
        <f t="shared" si="41"/>
        <v>3.7200074400148804</v>
      </c>
      <c r="V149" s="264" t="str">
        <f t="shared" si="42"/>
        <v>OK</v>
      </c>
      <c r="W149" s="265">
        <f t="shared" si="43"/>
        <v>4.7851952984896258</v>
      </c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 ht="12.75" customHeight="1" x14ac:dyDescent="0.2">
      <c r="A150" s="14">
        <f t="shared" si="51"/>
        <v>3</v>
      </c>
      <c r="B150" s="417">
        <f t="shared" si="45"/>
        <v>501.54692761600006</v>
      </c>
      <c r="C150" s="417">
        <f t="shared" si="46"/>
        <v>1791.9124550044291</v>
      </c>
      <c r="D150" s="14">
        <f t="shared" si="47"/>
        <v>1200</v>
      </c>
      <c r="E150" s="260">
        <f t="shared" si="48"/>
        <v>2400</v>
      </c>
      <c r="F150" s="264" t="str">
        <f t="shared" si="49"/>
        <v>OK</v>
      </c>
      <c r="G150" s="265">
        <f t="shared" si="50"/>
        <v>4.7851952984896258</v>
      </c>
      <c r="H150" s="5"/>
      <c r="I150" s="5"/>
      <c r="J150" s="5"/>
      <c r="K150" s="5"/>
      <c r="L150" s="5"/>
      <c r="M150" s="5"/>
      <c r="N150" s="5"/>
      <c r="O150" s="5"/>
      <c r="P150" s="5"/>
      <c r="Q150" s="14">
        <f t="shared" si="44"/>
        <v>7</v>
      </c>
      <c r="R150" s="417">
        <f t="shared" si="41"/>
        <v>0.77739929260338536</v>
      </c>
      <c r="S150" s="417">
        <f t="shared" si="41"/>
        <v>2.7774698601965859</v>
      </c>
      <c r="T150" s="417">
        <f t="shared" si="41"/>
        <v>1.8600037200074402</v>
      </c>
      <c r="U150" s="417">
        <f t="shared" si="41"/>
        <v>3.7200074400148804</v>
      </c>
      <c r="V150" s="264" t="str">
        <f t="shared" si="42"/>
        <v>OK</v>
      </c>
      <c r="W150" s="265" t="str">
        <f>IF(U149&gt;=U156," ",S150/T150)</f>
        <v xml:space="preserve"> </v>
      </c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 x14ac:dyDescent="0.2">
      <c r="A151" s="14">
        <f t="shared" si="51"/>
        <v>4</v>
      </c>
      <c r="B151" s="417">
        <f t="shared" si="45"/>
        <v>417.95577301333333</v>
      </c>
      <c r="C151" s="417">
        <f t="shared" si="46"/>
        <v>1791.9124550044291</v>
      </c>
      <c r="D151" s="14">
        <f t="shared" si="47"/>
        <v>1200</v>
      </c>
      <c r="E151" s="260">
        <f t="shared" si="48"/>
        <v>2400</v>
      </c>
      <c r="F151" s="264" t="str">
        <f t="shared" si="49"/>
        <v>OK</v>
      </c>
      <c r="G151" s="265">
        <f t="shared" si="50"/>
        <v>5.7422343581875515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 x14ac:dyDescent="0.2">
      <c r="A152" s="14">
        <f t="shared" si="51"/>
        <v>5</v>
      </c>
      <c r="B152" s="417">
        <f t="shared" si="45"/>
        <v>417.95577301333333</v>
      </c>
      <c r="C152" s="417">
        <f t="shared" si="46"/>
        <v>1791.9124550044291</v>
      </c>
      <c r="D152" s="14">
        <f t="shared" si="47"/>
        <v>1200</v>
      </c>
      <c r="E152" s="260">
        <f t="shared" si="48"/>
        <v>2400</v>
      </c>
      <c r="F152" s="264" t="str">
        <f t="shared" si="49"/>
        <v>OK</v>
      </c>
      <c r="G152" s="265">
        <f t="shared" si="50"/>
        <v>5.7422343581875515</v>
      </c>
      <c r="H152" s="5"/>
      <c r="I152" s="5"/>
      <c r="J152" s="5"/>
      <c r="K152" s="5"/>
      <c r="L152" s="5"/>
      <c r="M152" s="5"/>
      <c r="N152" s="5"/>
      <c r="O152" s="5"/>
      <c r="P152" s="5"/>
      <c r="Q152" s="5" t="s">
        <v>1175</v>
      </c>
      <c r="R152" s="64" t="s">
        <v>1176</v>
      </c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 x14ac:dyDescent="0.2">
      <c r="A153" s="14">
        <f t="shared" si="51"/>
        <v>6</v>
      </c>
      <c r="B153" s="417">
        <f t="shared" si="45"/>
        <v>501.54692761600006</v>
      </c>
      <c r="C153" s="417">
        <f t="shared" si="46"/>
        <v>1791.9124550044291</v>
      </c>
      <c r="D153" s="14">
        <f t="shared" si="47"/>
        <v>1200</v>
      </c>
      <c r="E153" s="260">
        <f t="shared" si="48"/>
        <v>2400</v>
      </c>
      <c r="F153" s="264" t="str">
        <f t="shared" si="49"/>
        <v>OK</v>
      </c>
      <c r="G153" s="265">
        <f t="shared" si="50"/>
        <v>4.7851952984896258</v>
      </c>
      <c r="H153" s="5"/>
      <c r="I153" s="5"/>
      <c r="J153" s="5"/>
      <c r="K153" s="5"/>
      <c r="L153" s="5"/>
      <c r="M153" s="5"/>
      <c r="N153" s="5"/>
      <c r="O153" s="5"/>
      <c r="P153" s="5"/>
      <c r="Q153" s="5" t="s">
        <v>1171</v>
      </c>
      <c r="R153" s="64" t="s">
        <v>1177</v>
      </c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 x14ac:dyDescent="0.2">
      <c r="A154" s="14">
        <f t="shared" si="51"/>
        <v>7</v>
      </c>
      <c r="B154" s="417">
        <f t="shared" si="45"/>
        <v>501.54692761600006</v>
      </c>
      <c r="C154" s="417">
        <f t="shared" si="46"/>
        <v>1791.9124550044291</v>
      </c>
      <c r="D154" s="14">
        <f t="shared" si="47"/>
        <v>1200</v>
      </c>
      <c r="E154" s="260">
        <f t="shared" si="48"/>
        <v>2400</v>
      </c>
      <c r="F154" s="264" t="str">
        <f t="shared" si="49"/>
        <v>OK</v>
      </c>
      <c r="G154" s="265" t="str">
        <f>IF(E153&gt;=E160," ",C154/D154)</f>
        <v xml:space="preserve"> </v>
      </c>
      <c r="H154" s="5"/>
      <c r="I154" s="5"/>
      <c r="J154" s="5"/>
      <c r="K154" s="5"/>
      <c r="L154" s="5"/>
      <c r="M154" s="5"/>
      <c r="N154" s="5"/>
      <c r="O154" s="5"/>
      <c r="P154" s="5"/>
      <c r="Q154" s="5" t="s">
        <v>1172</v>
      </c>
      <c r="R154" s="64" t="s">
        <v>1178</v>
      </c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 x14ac:dyDescent="0.2">
      <c r="A155" s="14">
        <f t="shared" si="51"/>
        <v>8</v>
      </c>
      <c r="B155" s="417">
        <f t="shared" si="45"/>
        <v>0</v>
      </c>
      <c r="C155" s="417">
        <f t="shared" si="46"/>
        <v>0</v>
      </c>
      <c r="D155" s="14">
        <f t="shared" si="47"/>
        <v>1200</v>
      </c>
      <c r="E155" s="260">
        <f t="shared" si="48"/>
        <v>1200</v>
      </c>
      <c r="F155" s="264" t="str">
        <f t="shared" si="49"/>
        <v>OK</v>
      </c>
      <c r="G155" s="265" t="str">
        <f>IF(E154&gt;=E161," ",C155/D155)</f>
        <v xml:space="preserve"> </v>
      </c>
      <c r="H155" s="5"/>
      <c r="I155" s="5"/>
      <c r="J155" s="5"/>
      <c r="K155" s="5"/>
      <c r="L155" s="5"/>
      <c r="M155" s="5"/>
      <c r="N155" s="5"/>
      <c r="O155" s="5"/>
      <c r="P155" s="5"/>
      <c r="Q155" s="5" t="s">
        <v>1173</v>
      </c>
      <c r="R155" s="64" t="s">
        <v>1179</v>
      </c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1:32" x14ac:dyDescent="0.2">
      <c r="A156" s="14"/>
      <c r="B156" s="417"/>
      <c r="C156" s="417"/>
      <c r="D156" s="14"/>
      <c r="E156" s="260"/>
      <c r="F156" s="14"/>
      <c r="G156" s="26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 x14ac:dyDescent="0.2">
      <c r="A157" s="5" t="s">
        <v>1175</v>
      </c>
      <c r="B157" s="64" t="s">
        <v>1176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121" t="s">
        <v>1180</v>
      </c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 x14ac:dyDescent="0.2">
      <c r="A158" s="5" t="s">
        <v>1171</v>
      </c>
      <c r="B158" s="64" t="s">
        <v>1177</v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 spans="1:32" x14ac:dyDescent="0.2">
      <c r="A159" s="5" t="s">
        <v>1172</v>
      </c>
      <c r="B159" s="64" t="s">
        <v>1178</v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101"/>
      <c r="R159" s="466" t="s">
        <v>1181</v>
      </c>
      <c r="S159" s="466" t="s">
        <v>551</v>
      </c>
      <c r="T159" s="466" t="s">
        <v>1182</v>
      </c>
      <c r="U159" s="466" t="s">
        <v>1183</v>
      </c>
      <c r="V159" s="466" t="s">
        <v>1159</v>
      </c>
      <c r="W159" s="466" t="s">
        <v>1172</v>
      </c>
      <c r="X159" s="467"/>
      <c r="Y159" s="5"/>
      <c r="Z159" s="5"/>
      <c r="AA159" s="5"/>
      <c r="AB159" s="5"/>
      <c r="AC159" s="5"/>
      <c r="AD159" s="5"/>
      <c r="AE159" s="5"/>
      <c r="AF159" s="5"/>
    </row>
    <row r="160" spans="1:32" x14ac:dyDescent="0.2">
      <c r="A160" s="5" t="s">
        <v>1173</v>
      </c>
      <c r="B160" s="64" t="s">
        <v>1179</v>
      </c>
      <c r="C160" s="5"/>
      <c r="D160" s="5"/>
      <c r="E160" s="5"/>
      <c r="F160" s="5"/>
      <c r="G160" s="5"/>
      <c r="H160" s="5"/>
      <c r="I160" s="5"/>
      <c r="J160" s="5"/>
      <c r="K160" s="64" t="s">
        <v>1184</v>
      </c>
      <c r="L160" s="5"/>
      <c r="M160" s="5"/>
      <c r="N160" s="64" t="s">
        <v>1185</v>
      </c>
      <c r="O160" s="5"/>
      <c r="P160" s="5"/>
      <c r="Q160" s="101"/>
      <c r="R160" s="466" t="s">
        <v>248</v>
      </c>
      <c r="S160" s="466" t="s">
        <v>1186</v>
      </c>
      <c r="T160" s="466" t="s">
        <v>248</v>
      </c>
      <c r="U160" s="466" t="s">
        <v>248</v>
      </c>
      <c r="V160" s="466" t="s">
        <v>1174</v>
      </c>
      <c r="W160" s="466" t="s">
        <v>1174</v>
      </c>
      <c r="X160" s="101"/>
      <c r="Y160" s="5"/>
      <c r="Z160" s="5"/>
      <c r="AA160" s="5"/>
      <c r="AB160" s="5"/>
      <c r="AC160" s="5"/>
      <c r="AD160" s="5"/>
      <c r="AE160" s="5"/>
      <c r="AF160" s="5"/>
    </row>
    <row r="161" spans="1:32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64" t="s">
        <v>1187</v>
      </c>
      <c r="L161" s="5">
        <f>13.4*(B14/1000*'Main Dimensions Calcs'!L40)^0.5</f>
        <v>172.0885576672662</v>
      </c>
      <c r="M161" s="64" t="s">
        <v>247</v>
      </c>
      <c r="N161" s="64" t="s">
        <v>1187</v>
      </c>
      <c r="O161" s="5">
        <f>13.4*(B14/1000*'Main Dimensions Calcs'!H7)^0.5</f>
        <v>172.0885576672662</v>
      </c>
      <c r="P161" s="64" t="s">
        <v>247</v>
      </c>
      <c r="Q161" s="196" t="s">
        <v>1188</v>
      </c>
      <c r="R161" s="468">
        <f>B166/25.4</f>
        <v>0.98425196850393704</v>
      </c>
      <c r="S161" s="468">
        <f>C166*0.00571</f>
        <v>67.342312499999991</v>
      </c>
      <c r="T161" s="468">
        <f>D166/25.4</f>
        <v>6.7751400656404019</v>
      </c>
      <c r="U161" s="468">
        <f>E166/25.4</f>
        <v>15.846151021652053</v>
      </c>
      <c r="V161" s="468">
        <f>6*S161*R20/R22</f>
        <v>0.82858060140245848</v>
      </c>
      <c r="W161" s="468">
        <f>V161-(T161*'Main Dimensions Calcs'!L40/25.4+R161*U161)</f>
        <v>-16.901927117748116</v>
      </c>
      <c r="X161" s="469" t="str">
        <f>IF(W161&lt;0,"OK","error")</f>
        <v>OK</v>
      </c>
      <c r="Y161" s="5"/>
      <c r="Z161" s="5"/>
      <c r="AA161" s="5"/>
      <c r="AB161" s="5"/>
      <c r="AC161" s="5"/>
      <c r="AD161" s="5"/>
      <c r="AE161" s="5"/>
      <c r="AF161" s="5"/>
    </row>
    <row r="162" spans="1:32" x14ac:dyDescent="0.2">
      <c r="A162" s="121" t="s">
        <v>1180</v>
      </c>
      <c r="B162" s="5"/>
      <c r="C162" s="5"/>
      <c r="D162" s="5"/>
      <c r="E162" s="5"/>
      <c r="F162" s="5"/>
      <c r="G162" s="5"/>
      <c r="H162" s="5"/>
      <c r="I162" s="5"/>
      <c r="J162" s="5"/>
      <c r="K162" s="64" t="s">
        <v>1189</v>
      </c>
      <c r="L162" s="5">
        <f>250*$I$76*1000*$B$20/1000</f>
        <v>11793.75</v>
      </c>
      <c r="M162" s="5"/>
      <c r="N162" s="64" t="s">
        <v>1189</v>
      </c>
      <c r="O162" s="5">
        <f>250*$I$71*1000*$B$20/1000</f>
        <v>11793.75</v>
      </c>
      <c r="P162" s="5"/>
      <c r="Q162" s="196" t="s">
        <v>1190</v>
      </c>
      <c r="R162" s="468">
        <f>B167/25.4</f>
        <v>0.31496062992125984</v>
      </c>
      <c r="S162" s="468">
        <f>C167*0.00571</f>
        <v>67.342312499999991</v>
      </c>
      <c r="T162" s="468">
        <f>D167/25.4</f>
        <v>6.7751400656404019</v>
      </c>
      <c r="U162" s="468">
        <f>E167/25.4</f>
        <v>10.551181102362206</v>
      </c>
      <c r="V162" s="468">
        <f>F167/(25.4*25.4)</f>
        <v>2.2776965806560647</v>
      </c>
      <c r="W162" s="468">
        <f>G167/(25.4*25.4)</f>
        <v>-4.010214110239418</v>
      </c>
      <c r="X162" s="469" t="str">
        <f>IF(W162&lt;0,"OK","error")</f>
        <v>OK</v>
      </c>
      <c r="Y162" s="5"/>
      <c r="Z162" s="5"/>
      <c r="AA162" s="5"/>
      <c r="AB162" s="5"/>
      <c r="AC162" s="5"/>
      <c r="AD162" s="5"/>
      <c r="AE162" s="5"/>
      <c r="AF162" s="5"/>
    </row>
    <row r="163" spans="1:32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64" t="s">
        <v>1191</v>
      </c>
      <c r="L163" s="5">
        <f>37.5*L162*($B$14/1000)^3/($B$15*($B$23-1))*10000</f>
        <v>2160148.8752517994</v>
      </c>
      <c r="M163" s="64" t="s">
        <v>1155</v>
      </c>
      <c r="N163" s="64" t="s">
        <v>1191</v>
      </c>
      <c r="O163" s="5">
        <f>37.5*O162*($B$14/1000)^3/($B$15*($B$23-1))*10000</f>
        <v>2160148.8752517994</v>
      </c>
      <c r="P163" s="64" t="s">
        <v>1155</v>
      </c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1:32" x14ac:dyDescent="0.2">
      <c r="A164" s="470"/>
      <c r="B164" s="471" t="s">
        <v>1181</v>
      </c>
      <c r="C164" s="471" t="s">
        <v>551</v>
      </c>
      <c r="D164" s="471" t="s">
        <v>1182</v>
      </c>
      <c r="E164" s="471" t="s">
        <v>1183</v>
      </c>
      <c r="F164" s="471" t="s">
        <v>1159</v>
      </c>
      <c r="G164" s="471" t="s">
        <v>1172</v>
      </c>
      <c r="H164" s="467"/>
      <c r="I164" s="5"/>
      <c r="J164" s="5"/>
      <c r="K164" s="64" t="s">
        <v>1159</v>
      </c>
      <c r="L164" s="5">
        <f>L162*$B$14/1000/(2*$B$22)</f>
        <v>1469.4787259760667</v>
      </c>
      <c r="M164" s="64" t="s">
        <v>334</v>
      </c>
      <c r="N164" s="64" t="s">
        <v>1159</v>
      </c>
      <c r="O164" s="5">
        <f>O162*$B$14/1000/(2*$B$22)</f>
        <v>1469.4787259760667</v>
      </c>
      <c r="P164" s="64" t="s">
        <v>334</v>
      </c>
      <c r="Q164" s="5"/>
      <c r="R164" s="466" t="s">
        <v>1191</v>
      </c>
      <c r="S164" s="466" t="s">
        <v>1192</v>
      </c>
      <c r="T164" s="64"/>
      <c r="U164" s="64"/>
      <c r="V164" s="64"/>
      <c r="W164" s="64"/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 x14ac:dyDescent="0.2">
      <c r="A165" s="470"/>
      <c r="B165" s="471" t="s">
        <v>247</v>
      </c>
      <c r="C165" s="471" t="s">
        <v>940</v>
      </c>
      <c r="D165" s="471" t="s">
        <v>247</v>
      </c>
      <c r="E165" s="471" t="s">
        <v>247</v>
      </c>
      <c r="F165" s="471" t="s">
        <v>334</v>
      </c>
      <c r="G165" s="471" t="s">
        <v>334</v>
      </c>
      <c r="H165" s="101"/>
      <c r="I165" s="5"/>
      <c r="J165" s="5"/>
      <c r="K165" s="64" t="s">
        <v>1182</v>
      </c>
      <c r="L165" s="5">
        <f>13.4*($B$14/1000*'Main Dimensions Calcs'!L40)^0.5</f>
        <v>172.0885576672662</v>
      </c>
      <c r="M165" s="64" t="s">
        <v>247</v>
      </c>
      <c r="N165" s="64" t="s">
        <v>1182</v>
      </c>
      <c r="O165" s="5">
        <f>13.4*($B$14/1000*'Main Dimensions Calcs'!H7)^0.5</f>
        <v>172.0885576672662</v>
      </c>
      <c r="P165" s="64" t="s">
        <v>247</v>
      </c>
      <c r="Q165" s="5"/>
      <c r="R165" s="466" t="s">
        <v>1154</v>
      </c>
      <c r="S165" s="466" t="s">
        <v>1154</v>
      </c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 x14ac:dyDescent="0.2">
      <c r="A166" s="471" t="s">
        <v>1188</v>
      </c>
      <c r="B166" s="472">
        <f>'Main Dimensions Calcs'!L42</f>
        <v>25</v>
      </c>
      <c r="C166" s="472">
        <f>L162</f>
        <v>11793.75</v>
      </c>
      <c r="D166" s="472">
        <f>L165</f>
        <v>172.0885576672662</v>
      </c>
      <c r="E166" s="472">
        <f>'Inner Tank Compression Ring 1'!B31</f>
        <v>402.49223594996215</v>
      </c>
      <c r="F166" s="472">
        <f>6*S161*R20/R22*25.4*25.4</f>
        <v>534.56706080081005</v>
      </c>
      <c r="G166" s="473">
        <f>L167</f>
        <v>-9969.5356341111165</v>
      </c>
      <c r="H166" s="469" t="str">
        <f>IF(G166&lt;0,"OK","error")</f>
        <v>OK</v>
      </c>
      <c r="I166" s="5"/>
      <c r="J166" s="5"/>
      <c r="K166" s="64" t="s">
        <v>1193</v>
      </c>
      <c r="L166" s="306">
        <f>E166</f>
        <v>402.49223594996215</v>
      </c>
      <c r="M166" s="64" t="s">
        <v>247</v>
      </c>
      <c r="N166" s="64" t="s">
        <v>1194</v>
      </c>
      <c r="O166" s="433">
        <f>16*'Inner Vessel Shell Thickness'!B85+'Main Dimensions Calcs'!H7+100</f>
        <v>268</v>
      </c>
      <c r="P166" s="64" t="s">
        <v>247</v>
      </c>
      <c r="Q166" s="293" t="s">
        <v>1188</v>
      </c>
      <c r="R166" s="474">
        <f>684*S161*R14^3/(R15*(R23-1))</f>
        <v>5.4778728384167268</v>
      </c>
      <c r="S166" s="474">
        <f>C171/(25.4^4)</f>
        <v>283.34844890966684</v>
      </c>
      <c r="T166" s="469" t="str">
        <f>IF(S166/R166&gt;1,"OK","error")</f>
        <v>OK</v>
      </c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 x14ac:dyDescent="0.2">
      <c r="A167" s="471" t="s">
        <v>1190</v>
      </c>
      <c r="B167" s="472">
        <v>8</v>
      </c>
      <c r="C167" s="472">
        <f>O162</f>
        <v>11793.75</v>
      </c>
      <c r="D167" s="472">
        <f>O165</f>
        <v>172.0885576672662</v>
      </c>
      <c r="E167" s="472">
        <f>O166</f>
        <v>268</v>
      </c>
      <c r="F167" s="472">
        <f>O164</f>
        <v>1469.4787259760667</v>
      </c>
      <c r="G167" s="475">
        <f>O167</f>
        <v>-2587.2297353620629</v>
      </c>
      <c r="H167" s="469" t="str">
        <f>IF(G167&lt;0,"OK","error")</f>
        <v>OK</v>
      </c>
      <c r="I167" s="5"/>
      <c r="J167" s="5"/>
      <c r="K167" s="64" t="s">
        <v>1172</v>
      </c>
      <c r="L167" s="5">
        <f>L164-'Main Dimensions Calcs'!$L$40*L165-L166*'Main Dimensions Calcs'!$L$42</f>
        <v>-9969.5356341111165</v>
      </c>
      <c r="M167" s="5"/>
      <c r="N167" s="64" t="s">
        <v>1172</v>
      </c>
      <c r="O167" s="5">
        <f>O164-'Main Dimensions Calcs'!H7*O165-O166*'Inner Vessel Shell Thickness'!B85</f>
        <v>-2587.2297353620629</v>
      </c>
      <c r="P167" s="5"/>
      <c r="Q167" s="293" t="s">
        <v>1190</v>
      </c>
      <c r="R167" s="474">
        <f>B172/(25.4^4)</f>
        <v>5.1897784318854168</v>
      </c>
      <c r="S167" s="474">
        <f>1/12*(('Main Dimensions Calcs'!H7/25.4)^3*T162+U162^3*R162)+U162*R162*(U162/2-2.56)^2</f>
        <v>55.354737777247273</v>
      </c>
      <c r="T167" s="469" t="str">
        <f>IF(S167/R167&gt;1,"OK","error")</f>
        <v>OK</v>
      </c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x14ac:dyDescent="0.2">
      <c r="A168" s="433"/>
      <c r="B168" s="433"/>
      <c r="C168" s="433"/>
      <c r="D168" s="433"/>
      <c r="E168" s="433"/>
      <c r="F168" s="433"/>
      <c r="G168" s="433"/>
      <c r="H168" s="5"/>
      <c r="I168" s="5"/>
      <c r="J168" s="5"/>
      <c r="K168" s="64" t="s">
        <v>1192</v>
      </c>
      <c r="L168" s="5">
        <f>1/12*((L166*COS(ATAN('Main Dimensions Calcs'!D52/('Main Dimensions Calcs'!D53/2))))^3*'Main Dimensions Calcs'!L42+'Main Dimensions Calcs'!L40^3*L165)</f>
        <v>117938528.83121939</v>
      </c>
      <c r="M168" s="64" t="s">
        <v>334</v>
      </c>
      <c r="N168" s="64" t="s">
        <v>1192</v>
      </c>
      <c r="O168" s="64">
        <f>1/12*('Main Dimensions Calcs'!O173^3*'Inner Vessel Shell Thickness'!B85+O165*'Main Dimensions Calcs'!H7^3)+O166*'Inner Vessel Shell Thickness'!B85*(O166/2-65)^2</f>
        <v>12766822.445127137</v>
      </c>
      <c r="P168" s="64" t="s">
        <v>1155</v>
      </c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 x14ac:dyDescent="0.2">
      <c r="A169" s="433"/>
      <c r="B169" s="471" t="s">
        <v>1191</v>
      </c>
      <c r="C169" s="471" t="s">
        <v>1192</v>
      </c>
      <c r="D169" s="366"/>
      <c r="E169" s="366"/>
      <c r="F169" s="366"/>
      <c r="G169" s="366"/>
      <c r="H169" s="5"/>
      <c r="I169" s="5"/>
      <c r="J169" s="5"/>
      <c r="K169" s="64" t="s">
        <v>1195</v>
      </c>
      <c r="L169" s="5">
        <f>L168/L163</f>
        <v>54.597407698333662</v>
      </c>
      <c r="M169" s="5"/>
      <c r="N169" s="64" t="s">
        <v>1195</v>
      </c>
      <c r="O169" s="5">
        <f>O168/O163</f>
        <v>5.9101585966564283</v>
      </c>
      <c r="P169" s="5"/>
      <c r="Q169" s="64" t="s">
        <v>1196</v>
      </c>
      <c r="R169" s="64" t="s">
        <v>1197</v>
      </c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 x14ac:dyDescent="0.2">
      <c r="A170" s="433"/>
      <c r="B170" s="471" t="s">
        <v>1155</v>
      </c>
      <c r="C170" s="471" t="s">
        <v>1155</v>
      </c>
      <c r="D170" s="433"/>
      <c r="E170" s="433"/>
      <c r="F170" s="433"/>
      <c r="G170" s="433"/>
      <c r="H170" s="5"/>
      <c r="I170" s="5"/>
      <c r="J170" s="5"/>
      <c r="K170" s="5"/>
      <c r="L170" s="5"/>
      <c r="M170" s="5"/>
      <c r="N170" s="5"/>
      <c r="O170" s="5"/>
      <c r="P170" s="5"/>
      <c r="Q170" s="64" t="s">
        <v>1198</v>
      </c>
      <c r="R170" s="64" t="s">
        <v>1199</v>
      </c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 x14ac:dyDescent="0.2">
      <c r="A171" s="476" t="s">
        <v>1188</v>
      </c>
      <c r="B171" s="477">
        <f>L163</f>
        <v>2160148.8752517994</v>
      </c>
      <c r="C171" s="477">
        <f>L168</f>
        <v>117938528.83121939</v>
      </c>
      <c r="D171" s="470" t="str">
        <f>IF(C171/B171&gt;1,"OK","error")</f>
        <v>OK</v>
      </c>
      <c r="E171" s="433"/>
      <c r="F171" s="433"/>
      <c r="G171" s="433"/>
      <c r="H171" s="5"/>
      <c r="I171" s="5"/>
      <c r="J171" s="5"/>
      <c r="K171" s="5"/>
      <c r="L171" s="5"/>
      <c r="M171" s="5"/>
      <c r="N171" s="5"/>
      <c r="O171" s="5"/>
      <c r="P171" s="5"/>
      <c r="Q171" s="64" t="s">
        <v>1200</v>
      </c>
      <c r="R171" s="64" t="s">
        <v>1201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1:32" x14ac:dyDescent="0.2">
      <c r="A172" s="476" t="s">
        <v>1190</v>
      </c>
      <c r="B172" s="478">
        <f>O163</f>
        <v>2160148.8752517994</v>
      </c>
      <c r="C172" s="477">
        <f>S167*(25.4^4)</f>
        <v>23040381.418737806</v>
      </c>
      <c r="D172" s="470" t="str">
        <f>IF(C172/B172&gt;1,"OK","error")</f>
        <v>OK</v>
      </c>
      <c r="E172" s="433"/>
      <c r="F172" s="433"/>
      <c r="G172" s="433"/>
      <c r="H172" s="5"/>
      <c r="I172" s="5"/>
      <c r="J172" s="5"/>
      <c r="K172" s="5"/>
      <c r="L172" s="5"/>
      <c r="M172" s="5"/>
      <c r="N172" s="5"/>
      <c r="O172" s="5"/>
      <c r="P172" s="5"/>
      <c r="Q172" s="64" t="s">
        <v>1202</v>
      </c>
      <c r="R172" s="64" t="s">
        <v>1203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spans="1:32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64" t="s">
        <v>1204</v>
      </c>
      <c r="R173" s="64" t="s">
        <v>1205</v>
      </c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>
        <f>6*S161*$R$14/$R$22</f>
        <v>2.2776023571350774</v>
      </c>
      <c r="M175" s="5"/>
      <c r="N175" s="64" t="s">
        <v>1206</v>
      </c>
      <c r="O175" s="5">
        <f>132.77*R20/48</f>
        <v>68.062048884514439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2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 t="e">
        <f>684*S161*$R$14^3/($R$15*($L$177-1))</f>
        <v>#DIV/0!</v>
      </c>
      <c r="M176" s="5"/>
      <c r="N176" s="5"/>
      <c r="O176" s="5">
        <f>6*S162*$R$14/$R$22</f>
        <v>2.2776023571350774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1:32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64" t="s">
        <v>1207</v>
      </c>
      <c r="L177" s="5" t="e">
        <f>(5.33*R14^3/(0.31*('Main Dimensions Calcs'!N18)^2))^0.5</f>
        <v>#DIV/0!</v>
      </c>
      <c r="M177" s="5"/>
      <c r="N177" s="5"/>
      <c r="O177" s="5" t="e">
        <f>684*S162*$R$14^3/($R$15*($L$177-1))</f>
        <v>#DIV/0!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1:32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6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</sheetData>
  <mergeCells count="88">
    <mergeCell ref="Q64:S64"/>
    <mergeCell ref="U64:V64"/>
    <mergeCell ref="A66:C66"/>
    <mergeCell ref="E66:F66"/>
    <mergeCell ref="A65:C65"/>
    <mergeCell ref="E65:F65"/>
    <mergeCell ref="G65:H65"/>
    <mergeCell ref="B134:H134"/>
    <mergeCell ref="B136:H137"/>
    <mergeCell ref="B138:H140"/>
    <mergeCell ref="A119:C119"/>
    <mergeCell ref="E119:F119"/>
    <mergeCell ref="G119:H119"/>
    <mergeCell ref="A120:C120"/>
    <mergeCell ref="E120:F120"/>
    <mergeCell ref="A116:C118"/>
    <mergeCell ref="D116:H116"/>
    <mergeCell ref="D117:H117"/>
    <mergeCell ref="D118:H118"/>
    <mergeCell ref="B109:G109"/>
    <mergeCell ref="A5:C5"/>
    <mergeCell ref="E5:F5"/>
    <mergeCell ref="I5:K5"/>
    <mergeCell ref="M5:N5"/>
    <mergeCell ref="A7:H10"/>
    <mergeCell ref="M4:N4"/>
    <mergeCell ref="O4:P4"/>
    <mergeCell ref="A4:C4"/>
    <mergeCell ref="E4:F4"/>
    <mergeCell ref="G4:H4"/>
    <mergeCell ref="I4:K4"/>
    <mergeCell ref="D23:H24"/>
    <mergeCell ref="A40:H41"/>
    <mergeCell ref="D48:H49"/>
    <mergeCell ref="A62:C64"/>
    <mergeCell ref="D62:H62"/>
    <mergeCell ref="D63:H63"/>
    <mergeCell ref="D64:H64"/>
    <mergeCell ref="A1:C3"/>
    <mergeCell ref="D1:H1"/>
    <mergeCell ref="I1:K3"/>
    <mergeCell ref="L1:P1"/>
    <mergeCell ref="D2:H2"/>
    <mergeCell ref="L2:P2"/>
    <mergeCell ref="D3:H3"/>
    <mergeCell ref="L3:P3"/>
    <mergeCell ref="Q1:S3"/>
    <mergeCell ref="T1:X1"/>
    <mergeCell ref="Y1:AA3"/>
    <mergeCell ref="AB1:AF1"/>
    <mergeCell ref="T2:X2"/>
    <mergeCell ref="AB2:AF2"/>
    <mergeCell ref="T3:X3"/>
    <mergeCell ref="AB3:AF3"/>
    <mergeCell ref="AE4:AF4"/>
    <mergeCell ref="Q5:S5"/>
    <mergeCell ref="U5:V5"/>
    <mergeCell ref="Y5:AA5"/>
    <mergeCell ref="AC5:AD5"/>
    <mergeCell ref="Q4:S4"/>
    <mergeCell ref="U4:V4"/>
    <mergeCell ref="W4:X4"/>
    <mergeCell ref="Y4:AA4"/>
    <mergeCell ref="AC4:AD4"/>
    <mergeCell ref="Q7:X10"/>
    <mergeCell ref="T23:X24"/>
    <mergeCell ref="Q40:X41"/>
    <mergeCell ref="T48:X49"/>
    <mergeCell ref="Q63:S63"/>
    <mergeCell ref="U63:V63"/>
    <mergeCell ref="W63:X63"/>
    <mergeCell ref="Q60:S62"/>
    <mergeCell ref="T62:X62"/>
    <mergeCell ref="T61:X61"/>
    <mergeCell ref="T60:X60"/>
    <mergeCell ref="R109:W109"/>
    <mergeCell ref="Q116:S118"/>
    <mergeCell ref="T116:X116"/>
    <mergeCell ref="T117:X117"/>
    <mergeCell ref="T118:X118"/>
    <mergeCell ref="R136:X136"/>
    <mergeCell ref="R133:X133"/>
    <mergeCell ref="Q119:S119"/>
    <mergeCell ref="U119:V119"/>
    <mergeCell ref="W119:X119"/>
    <mergeCell ref="Q120:S120"/>
    <mergeCell ref="U120:V120"/>
    <mergeCell ref="R135:X135"/>
  </mergeCells>
  <pageMargins left="0.7" right="0.7" top="0.75" bottom="0.75" header="0.3" footer="0.3"/>
  <pageSetup paperSize="9" scale="90" fitToHeight="0" orientation="portrait"/>
  <rowBreaks count="4" manualBreakCount="4">
    <brk id="59" min="16" max="23" man="1"/>
    <brk id="61" max="7" man="1"/>
    <brk id="115" max="7" man="1"/>
    <brk id="115" min="16" max="2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AF172"/>
  <sheetViews>
    <sheetView topLeftCell="A133" workbookViewId="0">
      <selection activeCell="B156" sqref="B156"/>
    </sheetView>
    <sheetView tabSelected="1" topLeftCell="A148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10" max="10" width="7" customWidth="1"/>
    <col min="11" max="11" width="12.140625" bestFit="1" customWidth="1"/>
    <col min="16" max="16" width="10.42578125" customWidth="1"/>
    <col min="17" max="17" width="13.140625" customWidth="1"/>
    <col min="18" max="18" width="8.85546875" customWidth="1"/>
    <col min="20" max="20" width="14.42578125" customWidth="1"/>
    <col min="21" max="22" width="13.140625" customWidth="1"/>
    <col min="24" max="24" width="11" customWidth="1"/>
    <col min="25" max="25" width="9.140625" customWidth="1"/>
    <col min="27" max="27" width="8.5703125" customWidth="1"/>
    <col min="28" max="28" width="15.42578125" customWidth="1"/>
    <col min="30" max="30" width="11.85546875" customWidth="1"/>
    <col min="31" max="31" width="10.85546875" customWidth="1"/>
    <col min="32" max="32" width="9.42578125" customWidth="1"/>
  </cols>
  <sheetData>
    <row r="1" spans="1:32" ht="17.25" customHeight="1" thickTop="1" thickBot="1" x14ac:dyDescent="0.3">
      <c r="A1" s="988"/>
      <c r="B1" s="823"/>
      <c r="C1" s="871"/>
      <c r="D1" s="934" t="str">
        <f>'Front Page'!$A$13</f>
        <v>Mechanical  Calculations</v>
      </c>
      <c r="E1" s="842"/>
      <c r="F1" s="842"/>
      <c r="G1" s="842"/>
      <c r="H1" s="859"/>
      <c r="I1" s="988"/>
      <c r="J1" s="823"/>
      <c r="K1" s="871"/>
      <c r="L1" s="934" t="str">
        <f>'Front Page'!$A$13</f>
        <v>Mechanical  Calculations</v>
      </c>
      <c r="M1" s="842"/>
      <c r="N1" s="842"/>
      <c r="O1" s="842"/>
      <c r="P1" s="859"/>
      <c r="Q1" s="988"/>
      <c r="R1" s="823"/>
      <c r="S1" s="871"/>
      <c r="T1" s="934" t="str">
        <f>'Front Page'!$A$13</f>
        <v>Mechanical  Calculations</v>
      </c>
      <c r="U1" s="842"/>
      <c r="V1" s="842"/>
      <c r="W1" s="842"/>
      <c r="X1" s="859"/>
      <c r="Y1" s="988"/>
      <c r="Z1" s="823"/>
      <c r="AA1" s="871"/>
      <c r="AB1" s="934" t="str">
        <f>'Front Page'!$A$13</f>
        <v>Mechanical  Calculations</v>
      </c>
      <c r="AC1" s="842"/>
      <c r="AD1" s="842"/>
      <c r="AE1" s="842"/>
      <c r="AF1" s="859"/>
    </row>
    <row r="2" spans="1:32" ht="16.5" customHeight="1" thickBot="1" x14ac:dyDescent="0.3">
      <c r="A2" s="825"/>
      <c r="B2" s="809"/>
      <c r="C2" s="989"/>
      <c r="D2" s="984"/>
      <c r="E2" s="831"/>
      <c r="F2" s="831"/>
      <c r="G2" s="831"/>
      <c r="H2" s="854"/>
      <c r="I2" s="825"/>
      <c r="J2" s="809"/>
      <c r="K2" s="989"/>
      <c r="L2" s="984"/>
      <c r="M2" s="831"/>
      <c r="N2" s="831"/>
      <c r="O2" s="831"/>
      <c r="P2" s="854"/>
      <c r="Q2" s="825"/>
      <c r="R2" s="809"/>
      <c r="S2" s="989"/>
      <c r="T2" s="984"/>
      <c r="U2" s="831"/>
      <c r="V2" s="831"/>
      <c r="W2" s="831"/>
      <c r="X2" s="854"/>
      <c r="Y2" s="825"/>
      <c r="Z2" s="809"/>
      <c r="AA2" s="989"/>
      <c r="AB2" s="984"/>
      <c r="AC2" s="831"/>
      <c r="AD2" s="831"/>
      <c r="AE2" s="831"/>
      <c r="AF2" s="854"/>
    </row>
    <row r="3" spans="1:32" ht="16.5" customHeight="1" thickBot="1" x14ac:dyDescent="0.3">
      <c r="A3" s="827"/>
      <c r="B3" s="828"/>
      <c r="C3" s="857"/>
      <c r="D3" s="985" t="s">
        <v>1042</v>
      </c>
      <c r="E3" s="834"/>
      <c r="F3" s="834"/>
      <c r="G3" s="834"/>
      <c r="H3" s="986"/>
      <c r="I3" s="827"/>
      <c r="J3" s="828"/>
      <c r="K3" s="857"/>
      <c r="L3" s="985" t="s">
        <v>1042</v>
      </c>
      <c r="M3" s="834"/>
      <c r="N3" s="834"/>
      <c r="O3" s="834"/>
      <c r="P3" s="986"/>
      <c r="Q3" s="827"/>
      <c r="R3" s="828"/>
      <c r="S3" s="857"/>
      <c r="T3" s="985" t="s">
        <v>1042</v>
      </c>
      <c r="U3" s="834"/>
      <c r="V3" s="834"/>
      <c r="W3" s="834"/>
      <c r="X3" s="986"/>
      <c r="Y3" s="827"/>
      <c r="Z3" s="828"/>
      <c r="AA3" s="857"/>
      <c r="AB3" s="985" t="s">
        <v>1042</v>
      </c>
      <c r="AC3" s="834"/>
      <c r="AD3" s="834"/>
      <c r="AE3" s="834"/>
      <c r="AF3" s="986"/>
    </row>
    <row r="4" spans="1:32" ht="16.5" customHeight="1" thickTop="1" thickBot="1" x14ac:dyDescent="0.3">
      <c r="A4" s="873"/>
      <c r="B4" s="848"/>
      <c r="C4" s="865"/>
      <c r="D4" s="385" t="str">
        <f>'Front Page'!$D$4</f>
        <v>Doc Nº</v>
      </c>
      <c r="E4" s="980"/>
      <c r="F4" s="843"/>
      <c r="G4" s="980"/>
      <c r="H4" s="843"/>
      <c r="I4" s="873"/>
      <c r="J4" s="848"/>
      <c r="K4" s="865"/>
      <c r="L4" s="385" t="str">
        <f>'Front Page'!$D$4</f>
        <v>Doc Nº</v>
      </c>
      <c r="M4" s="980"/>
      <c r="N4" s="843"/>
      <c r="O4" s="980"/>
      <c r="P4" s="843"/>
      <c r="Q4" s="873"/>
      <c r="R4" s="848"/>
      <c r="S4" s="865"/>
      <c r="T4" s="385" t="str">
        <f>'Front Page'!$D$4</f>
        <v>Doc Nº</v>
      </c>
      <c r="U4" s="980"/>
      <c r="V4" s="843"/>
      <c r="W4" s="980"/>
      <c r="X4" s="843"/>
      <c r="Y4" s="873"/>
      <c r="Z4" s="848"/>
      <c r="AA4" s="865"/>
      <c r="AB4" s="385" t="str">
        <f>'Front Page'!$D$4</f>
        <v>Doc Nº</v>
      </c>
      <c r="AC4" s="980"/>
      <c r="AD4" s="843"/>
      <c r="AE4" s="980"/>
      <c r="AF4" s="843"/>
    </row>
    <row r="5" spans="1:32" ht="15.75" customHeight="1" thickBot="1" x14ac:dyDescent="0.3">
      <c r="A5" s="860"/>
      <c r="B5" s="851"/>
      <c r="C5" s="861"/>
      <c r="D5" s="386" t="str">
        <f>'Front Page'!$D$5</f>
        <v>Project</v>
      </c>
      <c r="E5" s="899"/>
      <c r="F5" s="835"/>
      <c r="G5" s="131" t="s">
        <v>5</v>
      </c>
      <c r="H5" s="132"/>
      <c r="I5" s="860"/>
      <c r="J5" s="851"/>
      <c r="K5" s="861"/>
      <c r="L5" s="386" t="str">
        <f>'Front Page'!$D$5</f>
        <v>Project</v>
      </c>
      <c r="M5" s="899"/>
      <c r="N5" s="835"/>
      <c r="O5" s="131" t="s">
        <v>5</v>
      </c>
      <c r="P5" s="132"/>
      <c r="Q5" s="860"/>
      <c r="R5" s="851"/>
      <c r="S5" s="861"/>
      <c r="T5" s="386" t="str">
        <f>'Front Page'!$D$5</f>
        <v>Project</v>
      </c>
      <c r="U5" s="899"/>
      <c r="V5" s="835"/>
      <c r="W5" s="131" t="s">
        <v>5</v>
      </c>
      <c r="X5" s="132"/>
      <c r="Y5" s="860"/>
      <c r="Z5" s="851"/>
      <c r="AA5" s="861"/>
      <c r="AB5" s="386" t="str">
        <f>'Front Page'!$D$5</f>
        <v>Project</v>
      </c>
      <c r="AC5" s="899"/>
      <c r="AD5" s="835"/>
      <c r="AE5" s="131" t="s">
        <v>5</v>
      </c>
      <c r="AF5" s="132"/>
    </row>
    <row r="6" spans="1:32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976" t="s">
        <v>1043</v>
      </c>
      <c r="B7" s="809"/>
      <c r="C7" s="809"/>
      <c r="D7" s="809"/>
      <c r="E7" s="809"/>
      <c r="F7" s="809"/>
      <c r="G7" s="809"/>
      <c r="H7" s="809"/>
      <c r="I7" s="5"/>
      <c r="J7" s="5"/>
      <c r="K7" s="5"/>
      <c r="L7" s="5"/>
      <c r="M7" s="5"/>
      <c r="N7" s="5"/>
      <c r="O7" s="5"/>
      <c r="P7" s="5"/>
      <c r="Q7" s="976" t="s">
        <v>1043</v>
      </c>
      <c r="R7" s="809"/>
      <c r="S7" s="809"/>
      <c r="T7" s="809"/>
      <c r="U7" s="809"/>
      <c r="V7" s="809"/>
      <c r="W7" s="809"/>
      <c r="X7" s="809"/>
      <c r="Y7" s="5"/>
      <c r="Z7" s="5"/>
      <c r="AA7" s="5"/>
      <c r="AB7" s="5"/>
      <c r="AC7" s="5"/>
      <c r="AD7" s="5"/>
      <c r="AE7" s="5"/>
      <c r="AF7" s="5"/>
    </row>
    <row r="8" spans="1:32" ht="18" customHeight="1" x14ac:dyDescent="0.2">
      <c r="A8" s="809"/>
      <c r="B8" s="809"/>
      <c r="C8" s="809"/>
      <c r="D8" s="809"/>
      <c r="E8" s="809"/>
      <c r="F8" s="809"/>
      <c r="G8" s="809"/>
      <c r="H8" s="809"/>
      <c r="I8" s="5"/>
      <c r="J8" s="5"/>
      <c r="K8" s="5"/>
      <c r="L8" s="5"/>
      <c r="M8" s="5"/>
      <c r="N8" s="5"/>
      <c r="O8" s="5"/>
      <c r="P8" s="5"/>
      <c r="Q8" s="809"/>
      <c r="R8" s="809"/>
      <c r="S8" s="809"/>
      <c r="T8" s="809"/>
      <c r="U8" s="809"/>
      <c r="V8" s="809"/>
      <c r="W8" s="809"/>
      <c r="X8" s="809"/>
      <c r="Y8" s="5"/>
      <c r="Z8" s="5"/>
      <c r="AA8" s="5"/>
      <c r="AB8" s="5"/>
      <c r="AC8" s="5"/>
      <c r="AD8" s="5"/>
      <c r="AE8" s="5"/>
      <c r="AF8" s="5"/>
    </row>
    <row r="9" spans="1:32" ht="17.25" customHeight="1" x14ac:dyDescent="0.2">
      <c r="A9" s="809"/>
      <c r="B9" s="809"/>
      <c r="C9" s="809"/>
      <c r="D9" s="809"/>
      <c r="E9" s="809"/>
      <c r="F9" s="809"/>
      <c r="G9" s="809"/>
      <c r="H9" s="809"/>
      <c r="I9" s="5"/>
      <c r="J9" s="5"/>
      <c r="K9" s="5"/>
      <c r="L9" s="5"/>
      <c r="M9" s="5"/>
      <c r="N9" s="5"/>
      <c r="O9" s="5"/>
      <c r="P9" s="5"/>
      <c r="Q9" s="809"/>
      <c r="R9" s="809"/>
      <c r="S9" s="809"/>
      <c r="T9" s="809"/>
      <c r="U9" s="809"/>
      <c r="V9" s="809"/>
      <c r="W9" s="809"/>
      <c r="X9" s="809"/>
      <c r="Y9" s="5"/>
      <c r="Z9" s="5"/>
      <c r="AA9" s="5"/>
      <c r="AB9" s="5"/>
      <c r="AC9" s="5"/>
      <c r="AD9" s="5"/>
      <c r="AE9" s="5"/>
      <c r="AF9" s="5"/>
    </row>
    <row r="10" spans="1:32" ht="24" customHeight="1" x14ac:dyDescent="0.2">
      <c r="A10" s="809"/>
      <c r="B10" s="809"/>
      <c r="C10" s="809"/>
      <c r="D10" s="809"/>
      <c r="E10" s="809"/>
      <c r="F10" s="809"/>
      <c r="G10" s="809"/>
      <c r="H10" s="809"/>
      <c r="I10" s="5"/>
      <c r="J10" s="5"/>
      <c r="K10" s="5"/>
      <c r="L10" s="5"/>
      <c r="M10" s="5"/>
      <c r="N10" s="5"/>
      <c r="O10" s="5"/>
      <c r="P10" s="5"/>
      <c r="Q10" s="809"/>
      <c r="R10" s="809"/>
      <c r="S10" s="809"/>
      <c r="T10" s="809"/>
      <c r="U10" s="809"/>
      <c r="V10" s="809"/>
      <c r="W10" s="809"/>
      <c r="X10" s="809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>
        <f>B18</f>
        <v>155.12961941533371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">
      <c r="A13" s="118" t="s">
        <v>1044</v>
      </c>
      <c r="B13" s="5"/>
      <c r="C13" s="5"/>
      <c r="D13" s="5"/>
      <c r="E13" s="5"/>
      <c r="F13" s="5"/>
      <c r="G13" s="5"/>
      <c r="H13" s="5"/>
      <c r="I13" s="5"/>
      <c r="J13" s="117"/>
      <c r="K13" s="5"/>
      <c r="L13" s="5"/>
      <c r="M13" s="5"/>
      <c r="N13" s="5"/>
      <c r="O13" s="5"/>
      <c r="P13" s="5"/>
      <c r="Q13" s="118" t="s">
        <v>1044</v>
      </c>
      <c r="R13" s="5"/>
      <c r="S13" s="5"/>
      <c r="T13" s="5"/>
      <c r="U13" s="5"/>
      <c r="V13" s="5"/>
      <c r="W13" s="5"/>
      <c r="X13" s="5"/>
      <c r="Y13" s="5"/>
      <c r="Z13" s="117"/>
      <c r="AA13" s="5"/>
      <c r="AB13" s="5"/>
      <c r="AC13" s="5"/>
      <c r="AD13" s="5"/>
      <c r="AE13" s="5"/>
      <c r="AF13" s="5"/>
    </row>
    <row r="14" spans="1:32" x14ac:dyDescent="0.2">
      <c r="A14" s="5"/>
      <c r="B14" s="5"/>
      <c r="C14" s="5"/>
      <c r="D14" s="5"/>
      <c r="E14" s="5"/>
      <c r="F14" s="5"/>
      <c r="G14" s="5"/>
      <c r="H14" s="5"/>
      <c r="I14" s="5"/>
      <c r="J14" s="11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17"/>
      <c r="AA14" s="5"/>
      <c r="AB14" s="5"/>
      <c r="AC14" s="5"/>
      <c r="AD14" s="5"/>
      <c r="AE14" s="5"/>
      <c r="AF14" s="5"/>
    </row>
    <row r="15" spans="1:32" x14ac:dyDescent="0.2">
      <c r="A15" s="117" t="s">
        <v>1045</v>
      </c>
      <c r="B15" s="263">
        <f>'Main Dimensions Calcs'!D53+'Main Dimensions Calcs'!H7*2</f>
        <v>20616</v>
      </c>
      <c r="C15" s="5" t="s">
        <v>247</v>
      </c>
      <c r="D15" s="64" t="s">
        <v>1046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17" t="s">
        <v>1045</v>
      </c>
      <c r="R15" s="263">
        <f>B15/25.4</f>
        <v>811.65354330708669</v>
      </c>
      <c r="S15" s="64" t="s">
        <v>248</v>
      </c>
      <c r="T15" s="64" t="s">
        <v>1046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x14ac:dyDescent="0.2">
      <c r="A16" s="117" t="s">
        <v>1048</v>
      </c>
      <c r="B16" s="216">
        <v>195000</v>
      </c>
      <c r="C16" s="5" t="s">
        <v>925</v>
      </c>
      <c r="D16" s="64" t="s">
        <v>1049</v>
      </c>
      <c r="E16" s="5"/>
      <c r="F16" s="5"/>
      <c r="G16" s="5"/>
      <c r="H16" s="5"/>
      <c r="I16" s="5"/>
      <c r="J16" s="441"/>
      <c r="K16" s="5"/>
      <c r="L16" s="5"/>
      <c r="M16" s="5"/>
      <c r="N16" s="5"/>
      <c r="O16" s="5"/>
      <c r="P16" s="5"/>
      <c r="Q16" s="117" t="s">
        <v>1048</v>
      </c>
      <c r="R16" s="216">
        <f>B16*145.04</f>
        <v>28282800</v>
      </c>
      <c r="S16" s="64" t="s">
        <v>926</v>
      </c>
      <c r="T16" s="64" t="s">
        <v>1049</v>
      </c>
      <c r="U16" s="5"/>
      <c r="V16" s="5"/>
      <c r="W16" s="5"/>
      <c r="X16" s="5"/>
      <c r="Y16" s="5"/>
      <c r="Z16" s="441"/>
      <c r="AA16" s="5"/>
      <c r="AB16" s="5"/>
      <c r="AC16" s="5"/>
      <c r="AD16" s="5"/>
      <c r="AE16" s="5"/>
      <c r="AF16" s="5"/>
    </row>
    <row r="17" spans="1:32" x14ac:dyDescent="0.2">
      <c r="A17" s="117" t="s">
        <v>1050</v>
      </c>
      <c r="B17" s="433">
        <v>2</v>
      </c>
      <c r="C17" s="5"/>
      <c r="D17" s="64" t="s">
        <v>1051</v>
      </c>
      <c r="E17" s="5"/>
      <c r="F17" s="5"/>
      <c r="G17" s="5"/>
      <c r="H17" s="5"/>
      <c r="I17" s="5"/>
      <c r="J17" s="117"/>
      <c r="K17" s="5"/>
      <c r="L17" s="5"/>
      <c r="M17" s="5"/>
      <c r="N17" s="5"/>
      <c r="O17" s="5"/>
      <c r="P17" s="5"/>
      <c r="Q17" s="117" t="s">
        <v>1050</v>
      </c>
      <c r="R17" s="216">
        <v>3</v>
      </c>
      <c r="S17" s="5"/>
      <c r="T17" s="64" t="s">
        <v>1051</v>
      </c>
      <c r="U17" s="5"/>
      <c r="V17" s="5"/>
      <c r="W17" s="5"/>
      <c r="X17" s="5"/>
      <c r="Y17" s="5"/>
      <c r="Z17" s="117"/>
      <c r="AA17" s="5"/>
      <c r="AB17" s="5"/>
      <c r="AC17" s="5"/>
      <c r="AD17" s="5"/>
      <c r="AE17" s="5"/>
      <c r="AF17" s="5"/>
    </row>
    <row r="18" spans="1:32" x14ac:dyDescent="0.2">
      <c r="A18" s="117" t="s">
        <v>1052</v>
      </c>
      <c r="B18" s="389">
        <f>'Allowable Stresses'!G31</f>
        <v>155.12961941533371</v>
      </c>
      <c r="C18" s="5" t="s">
        <v>925</v>
      </c>
      <c r="D18" s="64" t="s">
        <v>1053</v>
      </c>
      <c r="E18" s="5"/>
      <c r="F18" s="5"/>
      <c r="G18" s="5"/>
      <c r="H18" s="5"/>
      <c r="I18" s="5"/>
      <c r="J18" s="117"/>
      <c r="K18" s="5"/>
      <c r="L18" s="5"/>
      <c r="M18" s="5"/>
      <c r="N18" s="5"/>
      <c r="O18" s="5"/>
      <c r="P18" s="5"/>
      <c r="Q18" s="117" t="s">
        <v>1052</v>
      </c>
      <c r="R18" s="216">
        <f>B18*145.04</f>
        <v>22500</v>
      </c>
      <c r="S18" s="64" t="s">
        <v>926</v>
      </c>
      <c r="T18" s="64" t="s">
        <v>1053</v>
      </c>
      <c r="U18" s="5"/>
      <c r="V18" s="5"/>
      <c r="W18" s="5"/>
      <c r="X18" s="5"/>
      <c r="Y18" s="5"/>
      <c r="Z18" s="117"/>
      <c r="AA18" s="5"/>
      <c r="AB18" s="5"/>
      <c r="AC18" s="5"/>
      <c r="AD18" s="5"/>
      <c r="AE18" s="5"/>
      <c r="AF18" s="5"/>
    </row>
    <row r="19" spans="1:32" x14ac:dyDescent="0.2">
      <c r="A19" s="117" t="s">
        <v>1054</v>
      </c>
      <c r="B19" s="265">
        <f>'Main Dimensions Calcs'!I18</f>
        <v>8</v>
      </c>
      <c r="C19" s="5" t="s">
        <v>247</v>
      </c>
      <c r="D19" s="64" t="s">
        <v>1055</v>
      </c>
      <c r="E19" s="5"/>
      <c r="F19" s="5"/>
      <c r="G19" s="5"/>
      <c r="H19" s="5"/>
      <c r="I19" s="5"/>
      <c r="J19" s="117"/>
      <c r="K19" s="5"/>
      <c r="L19" s="5"/>
      <c r="M19" s="5"/>
      <c r="N19" s="5"/>
      <c r="O19" s="5"/>
      <c r="P19" s="5"/>
      <c r="Q19" s="117" t="s">
        <v>1054</v>
      </c>
      <c r="R19" s="265">
        <f>B19/25.4</f>
        <v>0.31496062992125984</v>
      </c>
      <c r="S19" s="64" t="s">
        <v>248</v>
      </c>
      <c r="T19" s="64" t="s">
        <v>1055</v>
      </c>
      <c r="U19" s="5"/>
      <c r="V19" s="5"/>
      <c r="W19" s="5"/>
      <c r="X19" s="5"/>
      <c r="Y19" s="5"/>
      <c r="Z19" s="117"/>
      <c r="AA19" s="5"/>
      <c r="AB19" s="5"/>
      <c r="AC19" s="5"/>
      <c r="AD19" s="5"/>
      <c r="AE19" s="5"/>
      <c r="AF19" s="5"/>
    </row>
    <row r="20" spans="1:32" x14ac:dyDescent="0.2">
      <c r="A20" s="117" t="s">
        <v>1056</v>
      </c>
      <c r="B20" s="5">
        <v>0.3</v>
      </c>
      <c r="C20" s="5"/>
      <c r="D20" s="64" t="s">
        <v>1057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17" t="s">
        <v>1056</v>
      </c>
      <c r="R20" s="5">
        <v>0.3</v>
      </c>
      <c r="S20" s="5"/>
      <c r="T20" s="64" t="s">
        <v>1057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">
      <c r="A21" s="117" t="s">
        <v>911</v>
      </c>
      <c r="B21" s="5">
        <f>SUM('Main Dimensions Calcs'!I7:I17)</f>
        <v>7500</v>
      </c>
      <c r="C21" s="5" t="s">
        <v>247</v>
      </c>
      <c r="D21" s="64" t="s">
        <v>1058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17" t="s">
        <v>911</v>
      </c>
      <c r="R21" s="306">
        <f>B21/25.4</f>
        <v>295.2755905511811</v>
      </c>
      <c r="S21" s="64" t="s">
        <v>248</v>
      </c>
      <c r="T21" s="64" t="s">
        <v>1058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">
      <c r="A22" s="117" t="s">
        <v>971</v>
      </c>
      <c r="B22" s="479">
        <v>80</v>
      </c>
      <c r="C22" s="5" t="s">
        <v>304</v>
      </c>
      <c r="D22" s="64" t="s">
        <v>972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248" t="s">
        <v>971</v>
      </c>
      <c r="R22" s="217">
        <f>B22*0.062428</f>
        <v>4.9942399999999996</v>
      </c>
      <c r="S22" s="64" t="s">
        <v>973</v>
      </c>
      <c r="T22" s="64" t="s">
        <v>972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x14ac:dyDescent="0.2">
      <c r="A24" s="5" t="s">
        <v>1061</v>
      </c>
      <c r="B24" s="444">
        <f>0.663/((B21/B15)*(B19/B15)^(0.5))</f>
        <v>92.515367822240819</v>
      </c>
      <c r="C24" s="5"/>
      <c r="D24" s="901" t="s">
        <v>1062</v>
      </c>
      <c r="E24" s="809"/>
      <c r="F24" s="809"/>
      <c r="G24" s="809"/>
      <c r="H24" s="809"/>
      <c r="I24" s="5"/>
      <c r="J24" s="5"/>
      <c r="K24" s="5"/>
      <c r="L24" s="5"/>
      <c r="M24" s="5"/>
      <c r="N24" s="5"/>
      <c r="O24" s="5"/>
      <c r="P24" s="5"/>
      <c r="Q24" s="5" t="s">
        <v>1061</v>
      </c>
      <c r="R24" s="444">
        <f>B24</f>
        <v>92.515367822240819</v>
      </c>
      <c r="S24" s="5"/>
      <c r="T24" s="901" t="s">
        <v>1062</v>
      </c>
      <c r="U24" s="809"/>
      <c r="V24" s="809"/>
      <c r="W24" s="809"/>
      <c r="X24" s="809"/>
      <c r="Y24" s="5"/>
      <c r="Z24" s="5"/>
      <c r="AA24" s="5"/>
      <c r="AB24" s="5"/>
      <c r="AC24" s="5"/>
      <c r="AD24" s="5"/>
      <c r="AE24" s="5"/>
      <c r="AF24" s="5"/>
    </row>
    <row r="25" spans="1:32" x14ac:dyDescent="0.2">
      <c r="A25" s="226"/>
      <c r="B25" s="5"/>
      <c r="C25" s="5"/>
      <c r="D25" s="809"/>
      <c r="E25" s="809"/>
      <c r="F25" s="809"/>
      <c r="G25" s="809"/>
      <c r="H25" s="809"/>
      <c r="I25" s="5"/>
      <c r="J25" s="5"/>
      <c r="K25" s="5"/>
      <c r="L25" s="5"/>
      <c r="M25" s="5"/>
      <c r="N25" s="5"/>
      <c r="O25" s="5"/>
      <c r="P25" s="5"/>
      <c r="Q25" s="226"/>
      <c r="R25" s="5"/>
      <c r="S25" s="5"/>
      <c r="T25" s="809"/>
      <c r="U25" s="809"/>
      <c r="V25" s="809"/>
      <c r="W25" s="809"/>
      <c r="X25" s="809"/>
      <c r="Y25" s="5"/>
      <c r="Z25" s="5"/>
      <c r="AA25" s="5"/>
      <c r="AB25" s="5"/>
      <c r="AC25" s="5"/>
      <c r="AD25" s="5"/>
      <c r="AE25" s="5"/>
      <c r="AF25" s="5"/>
    </row>
    <row r="26" spans="1:32" x14ac:dyDescent="0.2">
      <c r="A26" s="226"/>
      <c r="B26" s="5"/>
      <c r="C26" s="5"/>
      <c r="D26" s="441" t="s">
        <v>1063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226"/>
      <c r="R26" s="5"/>
      <c r="S26" s="5"/>
      <c r="T26" s="441" t="s">
        <v>1063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">
      <c r="A27" s="118" t="s">
        <v>1074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18" t="s">
        <v>1074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x14ac:dyDescent="0.2">
      <c r="A29" s="226" t="s">
        <v>1075</v>
      </c>
      <c r="B29" s="327">
        <f>'Main Dimensions Calcs'!D68</f>
        <v>6</v>
      </c>
      <c r="C29" s="64" t="s">
        <v>346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26" t="s">
        <v>1075</v>
      </c>
      <c r="R29" s="327">
        <f>B29</f>
        <v>6</v>
      </c>
      <c r="S29" s="64" t="s">
        <v>346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">
      <c r="A30" s="226" t="s">
        <v>1076</v>
      </c>
      <c r="B30" s="327">
        <f>'Main Dimensions Calcs'!D69</f>
        <v>20856</v>
      </c>
      <c r="C30" s="64" t="s">
        <v>1077</v>
      </c>
      <c r="D30" s="5"/>
      <c r="E30" s="5"/>
      <c r="F30" s="5"/>
      <c r="G30" s="5"/>
      <c r="H30" s="5"/>
      <c r="I30" s="5"/>
      <c r="J30" s="226" t="s">
        <v>1078</v>
      </c>
      <c r="K30" s="327">
        <f>'Main Dimensions Calcs'!D70</f>
        <v>0</v>
      </c>
      <c r="L30" s="5" t="s">
        <v>1079</v>
      </c>
      <c r="M30" s="5"/>
      <c r="N30" s="5"/>
      <c r="O30" s="5"/>
      <c r="P30" s="5"/>
      <c r="Q30" s="226" t="s">
        <v>1076</v>
      </c>
      <c r="R30" s="327">
        <f>B30/25.4</f>
        <v>821.1023622047245</v>
      </c>
      <c r="S30" s="64" t="s">
        <v>1080</v>
      </c>
      <c r="T30" s="5"/>
      <c r="U30" s="5"/>
      <c r="V30" s="5"/>
      <c r="W30" s="5"/>
      <c r="X30" s="5"/>
      <c r="Y30" s="5"/>
      <c r="Z30" s="226" t="s">
        <v>1078</v>
      </c>
      <c r="AA30" s="331">
        <f>K30/25.4</f>
        <v>0</v>
      </c>
      <c r="AB30" s="64" t="s">
        <v>1081</v>
      </c>
      <c r="AC30" s="5"/>
      <c r="AD30" s="5"/>
      <c r="AE30" s="5"/>
      <c r="AF30" s="5"/>
    </row>
    <row r="31" spans="1:32" x14ac:dyDescent="0.2">
      <c r="A31" s="226" t="s">
        <v>1082</v>
      </c>
      <c r="B31" s="327">
        <f>'Main Dimensions Calcs'!D72</f>
        <v>120</v>
      </c>
      <c r="C31" s="64" t="s">
        <v>1083</v>
      </c>
      <c r="D31" s="5"/>
      <c r="E31" s="5"/>
      <c r="F31" s="5"/>
      <c r="G31" s="5"/>
      <c r="H31" s="5"/>
      <c r="I31" s="5"/>
      <c r="J31" s="226" t="s">
        <v>1084</v>
      </c>
      <c r="K31" s="327">
        <f>'Main Dimensions Calcs'!D71</f>
        <v>0</v>
      </c>
      <c r="L31" s="5" t="s">
        <v>1085</v>
      </c>
      <c r="M31" s="5"/>
      <c r="N31" s="5"/>
      <c r="O31" s="5"/>
      <c r="P31" s="5"/>
      <c r="Q31" s="226" t="s">
        <v>1082</v>
      </c>
      <c r="R31" s="327">
        <f>B31/25.4</f>
        <v>4.7244094488188981</v>
      </c>
      <c r="S31" s="64" t="s">
        <v>1208</v>
      </c>
      <c r="T31" s="5"/>
      <c r="U31" s="5"/>
      <c r="V31" s="5"/>
      <c r="W31" s="5"/>
      <c r="X31" s="5"/>
      <c r="Y31" s="5"/>
      <c r="Z31" s="226" t="s">
        <v>1084</v>
      </c>
      <c r="AA31" s="331">
        <f>K31/25.4</f>
        <v>0</v>
      </c>
      <c r="AB31" s="64" t="s">
        <v>1087</v>
      </c>
      <c r="AC31" s="5"/>
      <c r="AD31" s="5"/>
      <c r="AE31" s="5"/>
      <c r="AF31" s="5"/>
    </row>
    <row r="32" spans="1:32" x14ac:dyDescent="0.2">
      <c r="A32" s="226" t="s">
        <v>1088</v>
      </c>
      <c r="B32" s="327">
        <f>'Main Dimensions Calcs'!D73</f>
        <v>10</v>
      </c>
      <c r="C32" s="64" t="s">
        <v>394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26" t="s">
        <v>1088</v>
      </c>
      <c r="R32" s="327">
        <f>B32/25.4</f>
        <v>0.39370078740157483</v>
      </c>
      <c r="S32" s="64" t="s">
        <v>1089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x14ac:dyDescent="0.2">
      <c r="A33" s="226" t="s">
        <v>1090</v>
      </c>
      <c r="B33" s="389">
        <f>K30*K31+B31*B32</f>
        <v>1200</v>
      </c>
      <c r="C33" s="64" t="s">
        <v>395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26" t="s">
        <v>1090</v>
      </c>
      <c r="R33" s="389">
        <f>B33/(25.4*25.4)</f>
        <v>1.8600037200074402</v>
      </c>
      <c r="S33" s="64" t="s">
        <v>1091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x14ac:dyDescent="0.2">
      <c r="A35" s="994" t="s">
        <v>1092</v>
      </c>
      <c r="B35" s="809"/>
      <c r="C35" s="809"/>
      <c r="D35" s="809"/>
      <c r="E35" s="809"/>
      <c r="F35" s="809"/>
      <c r="G35" s="809"/>
      <c r="H35" s="809"/>
      <c r="I35" s="5"/>
      <c r="J35" s="5"/>
      <c r="K35" s="5"/>
      <c r="L35" s="5"/>
      <c r="M35" s="5"/>
      <c r="N35" s="5"/>
      <c r="O35" s="5"/>
      <c r="P35" s="5"/>
      <c r="Q35" s="994" t="s">
        <v>1092</v>
      </c>
      <c r="R35" s="809"/>
      <c r="S35" s="809"/>
      <c r="T35" s="809"/>
      <c r="U35" s="809"/>
      <c r="V35" s="809"/>
      <c r="W35" s="809"/>
      <c r="X35" s="809"/>
      <c r="Y35" s="5"/>
      <c r="Z35" s="5"/>
      <c r="AA35" s="5"/>
      <c r="AB35" s="5"/>
      <c r="AC35" s="5"/>
      <c r="AD35" s="5"/>
      <c r="AE35" s="5"/>
      <c r="AF35" s="5"/>
    </row>
    <row r="36" spans="1:32" x14ac:dyDescent="0.2">
      <c r="A36" s="809"/>
      <c r="B36" s="809"/>
      <c r="C36" s="809"/>
      <c r="D36" s="809"/>
      <c r="E36" s="809"/>
      <c r="F36" s="809"/>
      <c r="G36" s="809"/>
      <c r="H36" s="809"/>
      <c r="I36" s="5"/>
      <c r="J36" s="5"/>
      <c r="K36" s="5"/>
      <c r="L36" s="5"/>
      <c r="M36" s="5"/>
      <c r="N36" s="5"/>
      <c r="O36" s="5"/>
      <c r="P36" s="5"/>
      <c r="Q36" s="809"/>
      <c r="R36" s="809"/>
      <c r="S36" s="809"/>
      <c r="T36" s="809"/>
      <c r="U36" s="809"/>
      <c r="V36" s="809"/>
      <c r="W36" s="809"/>
      <c r="X36" s="809"/>
      <c r="Y36" s="5"/>
      <c r="Z36" s="5"/>
      <c r="AA36" s="5"/>
      <c r="AB36" s="5"/>
      <c r="AC36" s="5"/>
      <c r="AD36" s="5"/>
      <c r="AE36" s="5"/>
      <c r="AF36" s="5"/>
    </row>
    <row r="37" spans="1:32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2">
      <c r="A38" s="5" t="s">
        <v>1093</v>
      </c>
      <c r="B38" s="389">
        <f>'Main Dimensions Calcs'!D33</f>
        <v>19400</v>
      </c>
      <c r="C38" s="5" t="s">
        <v>247</v>
      </c>
      <c r="D38" s="64" t="s">
        <v>1094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 t="s">
        <v>1093</v>
      </c>
      <c r="R38" s="327">
        <f>B38/25.4</f>
        <v>763.77952755905517</v>
      </c>
      <c r="S38" s="64" t="s">
        <v>248</v>
      </c>
      <c r="T38" s="64" t="s">
        <v>1094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x14ac:dyDescent="0.2">
      <c r="A39" s="5" t="s">
        <v>1095</v>
      </c>
      <c r="B39" s="389">
        <f>'Main Dimensions Calcs'!D54</f>
        <v>18000</v>
      </c>
      <c r="C39" s="5" t="s">
        <v>247</v>
      </c>
      <c r="D39" s="64" t="s">
        <v>1096</v>
      </c>
      <c r="E39" s="5"/>
      <c r="F39" s="5"/>
      <c r="G39" s="5"/>
      <c r="H39" s="5"/>
      <c r="I39" s="5"/>
      <c r="J39" s="263"/>
      <c r="K39" s="5"/>
      <c r="L39" s="5"/>
      <c r="M39" s="5"/>
      <c r="N39" s="5"/>
      <c r="O39" s="5"/>
      <c r="P39" s="5"/>
      <c r="Q39" s="5" t="s">
        <v>1095</v>
      </c>
      <c r="R39" s="327">
        <f>B39/25.4</f>
        <v>708.66141732283472</v>
      </c>
      <c r="S39" s="64" t="s">
        <v>248</v>
      </c>
      <c r="T39" s="64" t="s">
        <v>1096</v>
      </c>
      <c r="U39" s="5"/>
      <c r="V39" s="5"/>
      <c r="W39" s="5"/>
      <c r="X39" s="5"/>
      <c r="Y39" s="5"/>
      <c r="Z39" s="263"/>
      <c r="AA39" s="5"/>
      <c r="AB39" s="5"/>
      <c r="AC39" s="5"/>
      <c r="AD39" s="5"/>
      <c r="AE39" s="5"/>
      <c r="AF39" s="5"/>
    </row>
    <row r="40" spans="1:32" x14ac:dyDescent="0.2">
      <c r="A40" s="5" t="s">
        <v>1097</v>
      </c>
      <c r="B40" s="332">
        <f>'Inner Tank Compression Ring 1'!B39</f>
        <v>0.82009860894593756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 t="s">
        <v>1097</v>
      </c>
      <c r="R40" s="332">
        <f>B40</f>
        <v>0.82009860894593756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x14ac:dyDescent="0.2">
      <c r="A41" s="5" t="s">
        <v>1098</v>
      </c>
      <c r="B41" s="332">
        <f>(1-B40^2)^0.5</f>
        <v>0.57222222222222219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 t="s">
        <v>1098</v>
      </c>
      <c r="R41" s="332">
        <f>B41</f>
        <v>0.57222222222222219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x14ac:dyDescent="0.2">
      <c r="A43" s="5" t="s">
        <v>1099</v>
      </c>
      <c r="B43" s="263">
        <f>('Main Dimensions Calcs'!J34-'Main Dimensions Calcs'!E82-'Main Dimensions Calcs'!J17)</f>
        <v>-1000</v>
      </c>
      <c r="C43" s="5" t="s">
        <v>247</v>
      </c>
      <c r="D43" s="901" t="s">
        <v>1100</v>
      </c>
      <c r="E43" s="809"/>
      <c r="F43" s="809"/>
      <c r="G43" s="809"/>
      <c r="H43" s="809"/>
      <c r="I43" s="5"/>
      <c r="J43" s="5"/>
      <c r="K43" s="5"/>
      <c r="L43" s="5"/>
      <c r="M43" s="5"/>
      <c r="N43" s="5"/>
      <c r="O43" s="5"/>
      <c r="P43" s="5"/>
      <c r="Q43" s="5" t="s">
        <v>1099</v>
      </c>
      <c r="R43" s="327">
        <f>B43/25.4</f>
        <v>-39.370078740157481</v>
      </c>
      <c r="S43" s="64" t="s">
        <v>248</v>
      </c>
      <c r="T43" s="901" t="s">
        <v>1100</v>
      </c>
      <c r="U43" s="809"/>
      <c r="V43" s="809"/>
      <c r="W43" s="809"/>
      <c r="X43" s="809"/>
      <c r="Y43" s="5"/>
      <c r="Z43" s="5"/>
      <c r="AA43" s="5"/>
      <c r="AB43" s="5"/>
      <c r="AC43" s="5"/>
      <c r="AD43" s="5"/>
      <c r="AE43" s="5"/>
      <c r="AF43" s="5"/>
    </row>
    <row r="44" spans="1:32" x14ac:dyDescent="0.2">
      <c r="A44" s="5"/>
      <c r="B44" s="5"/>
      <c r="C44" s="5"/>
      <c r="D44" s="809"/>
      <c r="E44" s="809"/>
      <c r="F44" s="809"/>
      <c r="G44" s="809"/>
      <c r="H44" s="80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809"/>
      <c r="U44" s="809"/>
      <c r="V44" s="809"/>
      <c r="W44" s="809"/>
      <c r="X44" s="809"/>
      <c r="Y44" s="5"/>
      <c r="Z44" s="5"/>
      <c r="AA44" s="5"/>
      <c r="AB44" s="5"/>
      <c r="AC44" s="5"/>
      <c r="AD44" s="5"/>
      <c r="AE44" s="5"/>
      <c r="AF44" s="5"/>
    </row>
    <row r="45" spans="1:32" x14ac:dyDescent="0.2">
      <c r="A45" s="5" t="s">
        <v>1101</v>
      </c>
      <c r="B45" s="263">
        <f>(B43-B41)/2</f>
        <v>-500.2861111111111</v>
      </c>
      <c r="C45" s="5" t="s">
        <v>247</v>
      </c>
      <c r="D45" s="64" t="s">
        <v>1102</v>
      </c>
      <c r="E45" s="263"/>
      <c r="F45" s="5"/>
      <c r="G45" s="5"/>
      <c r="H45" s="263"/>
      <c r="I45" s="5"/>
      <c r="J45" s="5"/>
      <c r="K45" s="5"/>
      <c r="L45" s="5"/>
      <c r="M45" s="5"/>
      <c r="N45" s="5"/>
      <c r="O45" s="5"/>
      <c r="P45" s="5"/>
      <c r="Q45" s="5" t="s">
        <v>1101</v>
      </c>
      <c r="R45" s="327">
        <f>B45/25.4</f>
        <v>-19.69630358705162</v>
      </c>
      <c r="S45" s="64" t="s">
        <v>248</v>
      </c>
      <c r="T45" s="64" t="s">
        <v>1102</v>
      </c>
      <c r="U45" s="263"/>
      <c r="V45" s="5"/>
      <c r="W45" s="5"/>
      <c r="X45" s="263"/>
      <c r="Y45" s="5"/>
      <c r="Z45" s="5"/>
      <c r="AA45" s="5"/>
      <c r="AB45" s="5"/>
      <c r="AC45" s="5"/>
      <c r="AD45" s="5"/>
      <c r="AE45" s="5"/>
      <c r="AF45" s="5"/>
    </row>
    <row r="46" spans="1:32" x14ac:dyDescent="0.2">
      <c r="A46" s="5" t="s">
        <v>1103</v>
      </c>
      <c r="B46" s="263">
        <f>B45+B21+B43</f>
        <v>5999.7138888888885</v>
      </c>
      <c r="C46" s="5" t="s">
        <v>247</v>
      </c>
      <c r="D46" s="64" t="s">
        <v>1104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 t="s">
        <v>1103</v>
      </c>
      <c r="R46" s="327">
        <f>B46/25.4</f>
        <v>236.20920822397201</v>
      </c>
      <c r="S46" s="64" t="s">
        <v>248</v>
      </c>
      <c r="T46" s="64" t="s">
        <v>1104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x14ac:dyDescent="0.2">
      <c r="A50" s="118" t="s">
        <v>1105</v>
      </c>
      <c r="B50" s="5"/>
      <c r="C50" s="285"/>
      <c r="D50" s="44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118" t="s">
        <v>1105</v>
      </c>
      <c r="R50" s="5"/>
      <c r="S50" s="285"/>
      <c r="T50" s="448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x14ac:dyDescent="0.2">
      <c r="A52" s="5" t="s">
        <v>1106</v>
      </c>
      <c r="B52" s="389">
        <f>'Design Conditions'!G16/10</f>
        <v>8.0000000000000004E-4</v>
      </c>
      <c r="C52" s="14" t="s">
        <v>925</v>
      </c>
      <c r="D52" s="64" t="s">
        <v>1209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 t="s">
        <v>1106</v>
      </c>
      <c r="R52" s="327">
        <f>B52*145.04</f>
        <v>0.116032</v>
      </c>
      <c r="S52" s="170" t="s">
        <v>926</v>
      </c>
      <c r="T52" s="64" t="s">
        <v>1209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x14ac:dyDescent="0.2">
      <c r="A53" s="5" t="s">
        <v>1108</v>
      </c>
      <c r="B53" s="389">
        <f>'Design Conditions'!G22/10</f>
        <v>5.0000000000000001E-4</v>
      </c>
      <c r="C53" s="14" t="s">
        <v>925</v>
      </c>
      <c r="D53" s="64" t="s">
        <v>1109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 t="s">
        <v>1108</v>
      </c>
      <c r="R53" s="327">
        <f>B53*145.04</f>
        <v>7.2520000000000001E-2</v>
      </c>
      <c r="S53" s="170" t="s">
        <v>926</v>
      </c>
      <c r="T53" s="64" t="s">
        <v>1109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x14ac:dyDescent="0.2">
      <c r="A54" s="5" t="s">
        <v>969</v>
      </c>
      <c r="B54" s="5">
        <f>B22*B46*9.8/1000000000</f>
        <v>4.703775688888889E-3</v>
      </c>
      <c r="C54" s="14" t="s">
        <v>925</v>
      </c>
      <c r="D54" s="64" t="s">
        <v>970</v>
      </c>
      <c r="E54" s="1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 t="s">
        <v>969</v>
      </c>
      <c r="R54" s="327">
        <f>B54*145.04</f>
        <v>0.68223562591644438</v>
      </c>
      <c r="S54" s="170" t="s">
        <v>926</v>
      </c>
      <c r="T54" s="64" t="s">
        <v>970</v>
      </c>
      <c r="U54" s="14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x14ac:dyDescent="0.2">
      <c r="A56" s="226" t="s">
        <v>1112</v>
      </c>
      <c r="B56" s="5">
        <f>+B52+B54-B53</f>
        <v>5.0037756888888889E-3</v>
      </c>
      <c r="C56" s="14" t="s">
        <v>925</v>
      </c>
      <c r="D56" s="64" t="s">
        <v>1113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226" t="s">
        <v>1112</v>
      </c>
      <c r="R56" s="327">
        <f>B56*145.04</f>
        <v>0.72574762591644437</v>
      </c>
      <c r="S56" s="170" t="s">
        <v>926</v>
      </c>
      <c r="T56" s="64" t="s">
        <v>1113</v>
      </c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3.5" customHeight="1" thickBo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ht="17.25" customHeight="1" thickTop="1" thickBot="1" x14ac:dyDescent="0.3">
      <c r="A58" s="988"/>
      <c r="B58" s="823"/>
      <c r="C58" s="871"/>
      <c r="D58" s="934" t="str">
        <f>'Front Page'!$A$13</f>
        <v>Mechanical  Calculations</v>
      </c>
      <c r="E58" s="842"/>
      <c r="F58" s="842"/>
      <c r="G58" s="842"/>
      <c r="H58" s="859"/>
      <c r="I58" s="5"/>
      <c r="J58" s="5"/>
      <c r="K58" s="5"/>
      <c r="L58" s="5"/>
      <c r="M58" s="5"/>
      <c r="N58" s="5"/>
      <c r="O58" s="5"/>
      <c r="P58" s="5"/>
      <c r="Q58" s="988"/>
      <c r="R58" s="823"/>
      <c r="S58" s="871"/>
      <c r="T58" s="934" t="str">
        <f>'Front Page'!$A$13</f>
        <v>Mechanical  Calculations</v>
      </c>
      <c r="U58" s="842"/>
      <c r="V58" s="842"/>
      <c r="W58" s="842"/>
      <c r="X58" s="859"/>
      <c r="Y58" s="5"/>
      <c r="Z58" s="5"/>
      <c r="AA58" s="5"/>
      <c r="AB58" s="5"/>
      <c r="AC58" s="5"/>
      <c r="AD58" s="5"/>
      <c r="AE58" s="5"/>
      <c r="AF58" s="5"/>
    </row>
    <row r="59" spans="1:32" ht="16.5" customHeight="1" thickBot="1" x14ac:dyDescent="0.3">
      <c r="A59" s="825"/>
      <c r="B59" s="809"/>
      <c r="C59" s="989"/>
      <c r="D59" s="984"/>
      <c r="E59" s="831"/>
      <c r="F59" s="831"/>
      <c r="G59" s="831"/>
      <c r="H59" s="854"/>
      <c r="I59" s="5"/>
      <c r="J59" s="5"/>
      <c r="K59" s="5"/>
      <c r="L59" s="5"/>
      <c r="M59" s="5"/>
      <c r="N59" s="5"/>
      <c r="O59" s="5"/>
      <c r="P59" s="5"/>
      <c r="Q59" s="825"/>
      <c r="R59" s="809"/>
      <c r="S59" s="989"/>
      <c r="T59" s="984"/>
      <c r="U59" s="831"/>
      <c r="V59" s="831"/>
      <c r="W59" s="831"/>
      <c r="X59" s="854"/>
      <c r="Y59" s="5"/>
      <c r="Z59" s="5"/>
      <c r="AA59" s="5"/>
      <c r="AB59" s="5"/>
      <c r="AC59" s="5"/>
      <c r="AD59" s="5"/>
      <c r="AE59" s="5"/>
      <c r="AF59" s="5"/>
    </row>
    <row r="60" spans="1:32" ht="16.5" customHeight="1" thickBot="1" x14ac:dyDescent="0.3">
      <c r="A60" s="827"/>
      <c r="B60" s="828"/>
      <c r="C60" s="857"/>
      <c r="D60" s="985" t="s">
        <v>1042</v>
      </c>
      <c r="E60" s="834"/>
      <c r="F60" s="834"/>
      <c r="G60" s="834"/>
      <c r="H60" s="986"/>
      <c r="I60" s="5"/>
      <c r="J60" s="5"/>
      <c r="K60" s="5"/>
      <c r="L60" s="5"/>
      <c r="M60" s="5"/>
      <c r="N60" s="5"/>
      <c r="O60" s="5"/>
      <c r="P60" s="5"/>
      <c r="Q60" s="827"/>
      <c r="R60" s="828"/>
      <c r="S60" s="857"/>
      <c r="T60" s="985" t="s">
        <v>1042</v>
      </c>
      <c r="U60" s="834"/>
      <c r="V60" s="834"/>
      <c r="W60" s="834"/>
      <c r="X60" s="986"/>
      <c r="Y60" s="5"/>
      <c r="Z60" s="5"/>
      <c r="AA60" s="5"/>
      <c r="AB60" s="5"/>
      <c r="AC60" s="5"/>
      <c r="AD60" s="5"/>
      <c r="AE60" s="5"/>
      <c r="AF60" s="5"/>
    </row>
    <row r="61" spans="1:32" ht="16.5" customHeight="1" thickTop="1" thickBot="1" x14ac:dyDescent="0.3">
      <c r="A61" s="873"/>
      <c r="B61" s="848"/>
      <c r="C61" s="865"/>
      <c r="D61" s="385" t="str">
        <f>'Front Page'!$D$4</f>
        <v>Doc Nº</v>
      </c>
      <c r="E61" s="980"/>
      <c r="F61" s="843"/>
      <c r="G61" s="980"/>
      <c r="H61" s="843"/>
      <c r="I61" s="5"/>
      <c r="J61" s="5"/>
      <c r="K61" s="5"/>
      <c r="L61" s="5"/>
      <c r="M61" s="5"/>
      <c r="N61" s="5"/>
      <c r="O61" s="5"/>
      <c r="P61" s="5"/>
      <c r="Q61" s="873"/>
      <c r="R61" s="848"/>
      <c r="S61" s="865"/>
      <c r="T61" s="385" t="str">
        <f>'Front Page'!$D$4</f>
        <v>Doc Nº</v>
      </c>
      <c r="U61" s="980"/>
      <c r="V61" s="843"/>
      <c r="W61" s="980"/>
      <c r="X61" s="843"/>
      <c r="Y61" s="5"/>
      <c r="Z61" s="5"/>
      <c r="AA61" s="5"/>
      <c r="AB61" s="5"/>
      <c r="AC61" s="5"/>
      <c r="AD61" s="5"/>
      <c r="AE61" s="5"/>
      <c r="AF61" s="5"/>
    </row>
    <row r="62" spans="1:32" ht="15.75" customHeight="1" thickBot="1" x14ac:dyDescent="0.3">
      <c r="A62" s="860"/>
      <c r="B62" s="851"/>
      <c r="C62" s="861"/>
      <c r="D62" s="386" t="str">
        <f>'Front Page'!$D$5</f>
        <v>Project</v>
      </c>
      <c r="E62" s="899"/>
      <c r="F62" s="835"/>
      <c r="G62" s="131" t="s">
        <v>5</v>
      </c>
      <c r="H62" s="132"/>
      <c r="I62" s="5"/>
      <c r="J62" s="5"/>
      <c r="K62" s="5"/>
      <c r="L62" s="5"/>
      <c r="M62" s="5"/>
      <c r="N62" s="5"/>
      <c r="O62" s="5"/>
      <c r="P62" s="5"/>
      <c r="Q62" s="860"/>
      <c r="R62" s="851"/>
      <c r="S62" s="861"/>
      <c r="T62" s="386" t="str">
        <f>'Front Page'!$D$5</f>
        <v>Project</v>
      </c>
      <c r="U62" s="899"/>
      <c r="V62" s="835"/>
      <c r="W62" s="131" t="s">
        <v>5</v>
      </c>
      <c r="X62" s="132"/>
      <c r="Y62" s="5"/>
      <c r="Z62" s="5"/>
      <c r="AA62" s="5"/>
      <c r="AB62" s="5"/>
      <c r="AC62" s="5"/>
      <c r="AD62" s="5"/>
      <c r="AE62" s="5"/>
      <c r="AF62" s="5"/>
    </row>
    <row r="63" spans="1:32" ht="13.5" customHeight="1" thickTop="1" x14ac:dyDescent="0.2">
      <c r="A63" s="4"/>
      <c r="B63" s="4"/>
      <c r="C63" s="4"/>
      <c r="D63" s="4"/>
      <c r="E63" s="4"/>
      <c r="F63" s="4"/>
      <c r="G63" s="4"/>
      <c r="H63" s="4"/>
      <c r="I63" s="5"/>
      <c r="J63" s="5"/>
      <c r="K63" s="5"/>
      <c r="L63" s="5"/>
      <c r="M63" s="5"/>
      <c r="N63" s="5"/>
      <c r="O63" s="5"/>
      <c r="P63" s="5"/>
      <c r="Q63" s="4"/>
      <c r="R63" s="4"/>
      <c r="S63" s="4"/>
      <c r="T63" s="4"/>
      <c r="U63" s="4"/>
      <c r="V63" s="4"/>
      <c r="W63" s="4"/>
      <c r="X63" s="4"/>
      <c r="Y63" s="5"/>
      <c r="Z63" s="5"/>
      <c r="AA63" s="5"/>
      <c r="AB63" s="5"/>
      <c r="AC63" s="5"/>
      <c r="AD63" s="5"/>
      <c r="AE63" s="5"/>
      <c r="AF63" s="5"/>
    </row>
    <row r="64" spans="1:32" x14ac:dyDescent="0.2">
      <c r="A64" s="118" t="s">
        <v>1115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18" t="s">
        <v>1115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x14ac:dyDescent="0.2">
      <c r="A66" s="226" t="s">
        <v>1124</v>
      </c>
      <c r="B66" s="453">
        <f>MAX(B56-D86*$B$22*9.8/1000000000)</f>
        <v>1.867775688888889E-3</v>
      </c>
      <c r="C66" s="14" t="s">
        <v>925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26" t="s">
        <v>1124</v>
      </c>
      <c r="R66" s="327">
        <f t="shared" ref="R66:R78" si="0">B66*145.04</f>
        <v>0.27090218591644444</v>
      </c>
      <c r="S66" s="170" t="s">
        <v>926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x14ac:dyDescent="0.2">
      <c r="A67" s="226" t="s">
        <v>1125</v>
      </c>
      <c r="B67" s="454">
        <f>MAX(B66-D87*$B$22*9.8/1000000000,0.005)</f>
        <v>5.0000000000000001E-3</v>
      </c>
      <c r="C67" s="14" t="s">
        <v>925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226" t="s">
        <v>1125</v>
      </c>
      <c r="R67" s="327">
        <f t="shared" si="0"/>
        <v>0.72519999999999996</v>
      </c>
      <c r="S67" s="170" t="s">
        <v>926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x14ac:dyDescent="0.2">
      <c r="A68" s="226" t="s">
        <v>1126</v>
      </c>
      <c r="B68" s="454">
        <f>MAX(B67-D88*$B$22*9.8/1000000000,0.005)</f>
        <v>5.0000000000000001E-3</v>
      </c>
      <c r="C68" s="14" t="s">
        <v>925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226" t="s">
        <v>1126</v>
      </c>
      <c r="R68" s="327">
        <f t="shared" si="0"/>
        <v>0.72519999999999996</v>
      </c>
      <c r="S68" s="170" t="s">
        <v>926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x14ac:dyDescent="0.2">
      <c r="A69" s="226" t="s">
        <v>1127</v>
      </c>
      <c r="B69" s="454">
        <f t="shared" ref="B69:B79" si="1">MAX(B68-D89*$B$22*9.8/1000000000,0.0055)</f>
        <v>5.4999999999999997E-3</v>
      </c>
      <c r="C69" s="14" t="s">
        <v>925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226" t="s">
        <v>1127</v>
      </c>
      <c r="R69" s="327">
        <f t="shared" si="0"/>
        <v>0.79771999999999987</v>
      </c>
      <c r="S69" s="170" t="s">
        <v>926</v>
      </c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x14ac:dyDescent="0.2">
      <c r="A70" s="226" t="s">
        <v>1128</v>
      </c>
      <c r="B70" s="454">
        <f t="shared" si="1"/>
        <v>5.4999999999999997E-3</v>
      </c>
      <c r="C70" s="14" t="s">
        <v>925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226" t="s">
        <v>1128</v>
      </c>
      <c r="R70" s="327">
        <f t="shared" si="0"/>
        <v>0.79771999999999987</v>
      </c>
      <c r="S70" s="170" t="s">
        <v>926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x14ac:dyDescent="0.2">
      <c r="A71" s="226" t="s">
        <v>1129</v>
      </c>
      <c r="B71" s="454">
        <f t="shared" si="1"/>
        <v>5.4999999999999997E-3</v>
      </c>
      <c r="C71" s="14" t="s">
        <v>925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226" t="s">
        <v>1129</v>
      </c>
      <c r="R71" s="327">
        <f t="shared" si="0"/>
        <v>0.79771999999999987</v>
      </c>
      <c r="S71" s="170" t="s">
        <v>926</v>
      </c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x14ac:dyDescent="0.2">
      <c r="A72" s="226" t="s">
        <v>1130</v>
      </c>
      <c r="B72" s="454">
        <f t="shared" si="1"/>
        <v>5.4999999999999997E-3</v>
      </c>
      <c r="C72" s="14" t="s">
        <v>925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226" t="s">
        <v>1130</v>
      </c>
      <c r="R72" s="327">
        <f t="shared" si="0"/>
        <v>0.79771999999999987</v>
      </c>
      <c r="S72" s="170" t="s">
        <v>926</v>
      </c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x14ac:dyDescent="0.2">
      <c r="A73" s="226" t="s">
        <v>1131</v>
      </c>
      <c r="B73" s="454">
        <f t="shared" si="1"/>
        <v>5.4999999999999997E-3</v>
      </c>
      <c r="C73" s="14" t="s">
        <v>925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226" t="s">
        <v>1131</v>
      </c>
      <c r="R73" s="327">
        <f t="shared" si="0"/>
        <v>0.79771999999999987</v>
      </c>
      <c r="S73" s="170" t="s">
        <v>926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x14ac:dyDescent="0.2">
      <c r="A74" s="226" t="s">
        <v>1132</v>
      </c>
      <c r="B74" s="454">
        <f t="shared" si="1"/>
        <v>5.4999999999999997E-3</v>
      </c>
      <c r="C74" s="14" t="s">
        <v>925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26" t="s">
        <v>1132</v>
      </c>
      <c r="R74" s="327">
        <f t="shared" si="0"/>
        <v>0.79771999999999987</v>
      </c>
      <c r="S74" s="170" t="s">
        <v>926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x14ac:dyDescent="0.2">
      <c r="A75" s="341" t="s">
        <v>1133</v>
      </c>
      <c r="B75" s="454">
        <f t="shared" si="1"/>
        <v>5.4999999999999997E-3</v>
      </c>
      <c r="C75" s="14" t="s">
        <v>925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341" t="s">
        <v>1133</v>
      </c>
      <c r="R75" s="327">
        <f t="shared" si="0"/>
        <v>0.79771999999999987</v>
      </c>
      <c r="S75" s="170" t="s">
        <v>926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x14ac:dyDescent="0.2">
      <c r="A76" s="341" t="s">
        <v>1134</v>
      </c>
      <c r="B76" s="454">
        <f t="shared" si="1"/>
        <v>5.4999999999999997E-3</v>
      </c>
      <c r="C76" s="14" t="s">
        <v>925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341" t="s">
        <v>1134</v>
      </c>
      <c r="R76" s="327">
        <f t="shared" si="0"/>
        <v>0.79771999999999987</v>
      </c>
      <c r="S76" s="170" t="s">
        <v>926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x14ac:dyDescent="0.2">
      <c r="A77" s="341" t="s">
        <v>1210</v>
      </c>
      <c r="B77" s="454">
        <f t="shared" si="1"/>
        <v>5.4999999999999997E-3</v>
      </c>
      <c r="C77" s="14" t="s">
        <v>925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341" t="s">
        <v>1210</v>
      </c>
      <c r="R77" s="327">
        <f t="shared" si="0"/>
        <v>0.79771999999999987</v>
      </c>
      <c r="S77" s="170" t="s">
        <v>926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x14ac:dyDescent="0.2">
      <c r="A78" s="226" t="s">
        <v>1132</v>
      </c>
      <c r="B78" s="454">
        <f t="shared" si="1"/>
        <v>5.4999999999999997E-3</v>
      </c>
      <c r="C78" s="14" t="s">
        <v>925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226" t="s">
        <v>1132</v>
      </c>
      <c r="R78" s="327">
        <f t="shared" si="0"/>
        <v>0.79771999999999987</v>
      </c>
      <c r="S78" s="170" t="s">
        <v>926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x14ac:dyDescent="0.2">
      <c r="A79" s="226" t="s">
        <v>1132</v>
      </c>
      <c r="B79" s="454">
        <f t="shared" si="1"/>
        <v>5.4999999999999997E-3</v>
      </c>
      <c r="C79" s="14" t="s">
        <v>980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226"/>
      <c r="R79" s="454"/>
      <c r="S79" s="14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x14ac:dyDescent="0.2">
      <c r="A80" s="226"/>
      <c r="B80" s="454"/>
      <c r="C80" s="1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226"/>
      <c r="R80" s="454"/>
      <c r="S80" s="14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x14ac:dyDescent="0.2">
      <c r="A81" s="226"/>
      <c r="B81" s="454"/>
      <c r="C81" s="1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226"/>
      <c r="R81" s="454"/>
      <c r="S81" s="14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x14ac:dyDescent="0.2">
      <c r="A82" s="118" t="s">
        <v>358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18" t="s">
        <v>358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x14ac:dyDescent="0.2">
      <c r="A84" s="5"/>
      <c r="B84" s="14" t="s">
        <v>360</v>
      </c>
      <c r="C84" s="14" t="s">
        <v>361</v>
      </c>
      <c r="D84" s="14" t="s">
        <v>362</v>
      </c>
      <c r="E84" s="218" t="s">
        <v>363</v>
      </c>
      <c r="F84" s="5"/>
      <c r="G84" s="14" t="s">
        <v>1136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14" t="s">
        <v>360</v>
      </c>
      <c r="S84" s="14" t="s">
        <v>361</v>
      </c>
      <c r="T84" s="14" t="s">
        <v>362</v>
      </c>
      <c r="U84" s="218" t="s">
        <v>363</v>
      </c>
      <c r="V84" s="5"/>
      <c r="W84" s="14" t="s">
        <v>1136</v>
      </c>
      <c r="X84" s="5"/>
      <c r="Y84" s="5"/>
      <c r="Z84" s="5"/>
      <c r="AA84" s="5"/>
      <c r="AB84" s="5"/>
      <c r="AC84" s="5"/>
      <c r="AD84" s="5"/>
      <c r="AE84" s="5"/>
      <c r="AF84" s="5"/>
    </row>
    <row r="85" spans="1:32" x14ac:dyDescent="0.2">
      <c r="A85" s="5"/>
      <c r="B85" s="14" t="s">
        <v>247</v>
      </c>
      <c r="C85" s="14" t="s">
        <v>247</v>
      </c>
      <c r="D85" s="14" t="s">
        <v>247</v>
      </c>
      <c r="E85" s="218" t="s">
        <v>247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170" t="s">
        <v>248</v>
      </c>
      <c r="S85" s="170" t="s">
        <v>248</v>
      </c>
      <c r="T85" s="170" t="s">
        <v>248</v>
      </c>
      <c r="U85" s="111" t="s">
        <v>248</v>
      </c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x14ac:dyDescent="0.2">
      <c r="A86" s="5">
        <v>1</v>
      </c>
      <c r="B86" s="219">
        <f>'Main Dimensions Calcs'!H7</f>
        <v>8</v>
      </c>
      <c r="C86" s="263">
        <f>B86^2.5*$B$16/(15203*($B$30/1000)^1.5*B56*1000*$B$17)*1000</f>
        <v>2435.8802135500796</v>
      </c>
      <c r="D86" s="219">
        <v>4000</v>
      </c>
      <c r="E86" s="14">
        <f>D86</f>
        <v>4000</v>
      </c>
      <c r="F86" s="264" t="str">
        <f>IF(D86&lt;C86,"OK","ERROR")</f>
        <v>ERROR</v>
      </c>
      <c r="G86" s="265">
        <f>C86/D86</f>
        <v>0.60897005338751986</v>
      </c>
      <c r="H86" s="5"/>
      <c r="I86" s="5"/>
      <c r="J86" s="5">
        <f t="shared" ref="J86:J91" si="2">N86/C86</f>
        <v>3.4789235012851445</v>
      </c>
      <c r="K86" s="399"/>
      <c r="L86" s="5">
        <f t="shared" ref="L86:L91" si="3">C86/D86</f>
        <v>0.60897005338751986</v>
      </c>
      <c r="M86" s="5"/>
      <c r="N86" s="260">
        <f t="shared" ref="N86:N91" si="4">$B$15*((B86/$B$15)^0.5)*(0.45+2.42*$B$16*(B86/$B$15)^2/($B$17*B66*(1-$B$20^2)^0.75))</f>
        <v>8474.2409212348484</v>
      </c>
      <c r="O86" s="5"/>
      <c r="P86" s="5"/>
      <c r="Q86" s="5">
        <v>1</v>
      </c>
      <c r="R86" s="219">
        <f t="shared" ref="R86:U91" si="5">B86/25.4</f>
        <v>0.31496062992125984</v>
      </c>
      <c r="S86" s="263">
        <f t="shared" si="5"/>
        <v>95.900795809058252</v>
      </c>
      <c r="T86" s="219">
        <f t="shared" si="5"/>
        <v>157.48031496062993</v>
      </c>
      <c r="U86" s="263">
        <f t="shared" si="5"/>
        <v>157.48031496062993</v>
      </c>
      <c r="V86" s="264" t="str">
        <f t="shared" ref="V86:V91" si="6">IF(T86&lt;S86,"OK","ERROR")</f>
        <v>ERROR</v>
      </c>
      <c r="W86" s="265">
        <f t="shared" ref="W86:W91" si="7">S86/T86</f>
        <v>0.60897005338751986</v>
      </c>
      <c r="X86" s="5"/>
      <c r="Y86" s="5"/>
      <c r="Z86" s="5">
        <f t="shared" ref="Z86:Z91" si="8">AD86/S86</f>
        <v>0.37829548875086644</v>
      </c>
      <c r="AA86" s="399"/>
      <c r="AB86" s="5">
        <f t="shared" ref="AB86:AB91" si="9">S86/T86</f>
        <v>0.60897005338751986</v>
      </c>
      <c r="AC86" s="5"/>
      <c r="AD86" s="260">
        <f t="shared" ref="AD86:AD91" si="10">$B$15*((R86/$B$15)^0.5)*(0.45+2.42*$B$16*(R86/$B$15)^2/($B$17*R66*(1-$B$20^2)^0.75))</f>
        <v>36.278838422184734</v>
      </c>
      <c r="AE86" s="5"/>
      <c r="AF86" s="5"/>
    </row>
    <row r="87" spans="1:32" x14ac:dyDescent="0.2">
      <c r="A87" s="5">
        <f>A86+1</f>
        <v>2</v>
      </c>
      <c r="B87" s="219">
        <f>'Main Dimensions Calcs'!H8</f>
        <v>8</v>
      </c>
      <c r="C87" s="263">
        <f>B87^2.5*$B$16/(15203*($B$30/1000)^1.5*B66*1000*$B$17)*1000</f>
        <v>6525.72911517987</v>
      </c>
      <c r="D87" s="219">
        <v>2600</v>
      </c>
      <c r="E87" s="14">
        <f>E86+D87</f>
        <v>6600</v>
      </c>
      <c r="F87" s="264" t="str">
        <f>IF(D87&lt;C87,"OK","ERROR")</f>
        <v>OK</v>
      </c>
      <c r="G87" s="265">
        <f>C87/D87</f>
        <v>2.509895813530719</v>
      </c>
      <c r="H87" s="5"/>
      <c r="I87" s="5"/>
      <c r="J87" s="5">
        <f t="shared" si="2"/>
        <v>0.50263803297731191</v>
      </c>
      <c r="K87" s="399"/>
      <c r="L87" s="5">
        <f t="shared" si="3"/>
        <v>2.509895813530719</v>
      </c>
      <c r="M87" s="5"/>
      <c r="N87" s="260">
        <f t="shared" si="4"/>
        <v>3280.0796461967839</v>
      </c>
      <c r="O87" s="5"/>
      <c r="P87" s="5"/>
      <c r="Q87" s="5">
        <f>Q86+1</f>
        <v>2</v>
      </c>
      <c r="R87" s="219">
        <f t="shared" si="5"/>
        <v>0.31496062992125984</v>
      </c>
      <c r="S87" s="263">
        <f t="shared" si="5"/>
        <v>256.91846910156971</v>
      </c>
      <c r="T87" s="219">
        <f t="shared" si="5"/>
        <v>102.36220472440945</v>
      </c>
      <c r="U87" s="263">
        <f t="shared" si="5"/>
        <v>259.84251968503941</v>
      </c>
      <c r="V87" s="264" t="str">
        <f t="shared" si="6"/>
        <v>OK</v>
      </c>
      <c r="W87" s="265">
        <f t="shared" si="7"/>
        <v>2.5098958135307194</v>
      </c>
      <c r="X87" s="5"/>
      <c r="Y87" s="5"/>
      <c r="Z87" s="5">
        <f t="shared" si="8"/>
        <v>0.14116472277276113</v>
      </c>
      <c r="AA87" s="399"/>
      <c r="AB87" s="5">
        <f t="shared" si="9"/>
        <v>2.5098958135307194</v>
      </c>
      <c r="AC87" s="5"/>
      <c r="AD87" s="260">
        <f t="shared" si="10"/>
        <v>36.267824465925287</v>
      </c>
      <c r="AE87" s="5"/>
      <c r="AF87" s="5"/>
    </row>
    <row r="88" spans="1:32" x14ac:dyDescent="0.2">
      <c r="A88" s="5"/>
      <c r="B88" s="219"/>
      <c r="C88" s="263"/>
      <c r="D88" s="219"/>
      <c r="E88" s="14"/>
      <c r="F88" s="264"/>
      <c r="G88" s="265"/>
      <c r="H88" s="226"/>
      <c r="I88" s="5"/>
      <c r="J88" s="5" t="e">
        <f t="shared" si="2"/>
        <v>#DIV/0!</v>
      </c>
      <c r="K88" s="399"/>
      <c r="L88" s="5" t="e">
        <f t="shared" si="3"/>
        <v>#DIV/0!</v>
      </c>
      <c r="M88" s="5"/>
      <c r="N88" s="260">
        <f t="shared" si="4"/>
        <v>0</v>
      </c>
      <c r="O88" s="5"/>
      <c r="P88" s="5"/>
      <c r="Q88" s="5">
        <v>3</v>
      </c>
      <c r="R88" s="219">
        <f t="shared" si="5"/>
        <v>0</v>
      </c>
      <c r="S88" s="263">
        <f t="shared" si="5"/>
        <v>0</v>
      </c>
      <c r="T88" s="219">
        <f t="shared" si="5"/>
        <v>0</v>
      </c>
      <c r="U88" s="263">
        <f t="shared" si="5"/>
        <v>0</v>
      </c>
      <c r="V88" s="264" t="str">
        <f t="shared" si="6"/>
        <v>ERROR</v>
      </c>
      <c r="W88" s="265" t="e">
        <f t="shared" si="7"/>
        <v>#DIV/0!</v>
      </c>
      <c r="X88" s="226"/>
      <c r="Y88" s="5"/>
      <c r="Z88" s="5" t="e">
        <f t="shared" si="8"/>
        <v>#DIV/0!</v>
      </c>
      <c r="AA88" s="399"/>
      <c r="AB88" s="5" t="e">
        <f t="shared" si="9"/>
        <v>#DIV/0!</v>
      </c>
      <c r="AC88" s="5"/>
      <c r="AD88" s="260">
        <f t="shared" si="10"/>
        <v>0</v>
      </c>
      <c r="AE88" s="5"/>
      <c r="AF88" s="5"/>
    </row>
    <row r="89" spans="1:32" x14ac:dyDescent="0.2">
      <c r="A89" s="5"/>
      <c r="B89" s="219"/>
      <c r="C89" s="263"/>
      <c r="D89" s="219"/>
      <c r="E89" s="14"/>
      <c r="F89" s="264"/>
      <c r="G89" s="265"/>
      <c r="H89" s="226"/>
      <c r="I89" s="5"/>
      <c r="J89" s="5" t="e">
        <f t="shared" si="2"/>
        <v>#DIV/0!</v>
      </c>
      <c r="K89" s="399"/>
      <c r="L89" s="5" t="e">
        <f t="shared" si="3"/>
        <v>#DIV/0!</v>
      </c>
      <c r="M89" s="5"/>
      <c r="N89" s="260">
        <f t="shared" si="4"/>
        <v>0</v>
      </c>
      <c r="O89" s="5"/>
      <c r="P89" s="5"/>
      <c r="Q89" s="5">
        <f t="shared" ref="Q89:Q95" si="11">Q88+1</f>
        <v>4</v>
      </c>
      <c r="R89" s="219">
        <f t="shared" si="5"/>
        <v>0</v>
      </c>
      <c r="S89" s="263">
        <f t="shared" si="5"/>
        <v>0</v>
      </c>
      <c r="T89" s="219">
        <f t="shared" si="5"/>
        <v>0</v>
      </c>
      <c r="U89" s="263">
        <f t="shared" si="5"/>
        <v>0</v>
      </c>
      <c r="V89" s="264" t="str">
        <f t="shared" si="6"/>
        <v>ERROR</v>
      </c>
      <c r="W89" s="265" t="e">
        <f t="shared" si="7"/>
        <v>#DIV/0!</v>
      </c>
      <c r="X89" s="226"/>
      <c r="Y89" s="5"/>
      <c r="Z89" s="5" t="e">
        <f t="shared" si="8"/>
        <v>#DIV/0!</v>
      </c>
      <c r="AA89" s="399"/>
      <c r="AB89" s="5" t="e">
        <f t="shared" si="9"/>
        <v>#DIV/0!</v>
      </c>
      <c r="AC89" s="5"/>
      <c r="AD89" s="260">
        <f t="shared" si="10"/>
        <v>0</v>
      </c>
      <c r="AE89" s="5"/>
      <c r="AF89" s="5"/>
    </row>
    <row r="90" spans="1:32" x14ac:dyDescent="0.2">
      <c r="A90" s="5"/>
      <c r="B90" s="219"/>
      <c r="C90" s="263"/>
      <c r="D90" s="219"/>
      <c r="E90" s="14"/>
      <c r="F90" s="264"/>
      <c r="G90" s="265"/>
      <c r="H90" s="226"/>
      <c r="I90" s="5"/>
      <c r="J90" s="5" t="e">
        <f t="shared" si="2"/>
        <v>#DIV/0!</v>
      </c>
      <c r="K90" s="399"/>
      <c r="L90" s="5" t="e">
        <f t="shared" si="3"/>
        <v>#DIV/0!</v>
      </c>
      <c r="M90" s="5"/>
      <c r="N90" s="260">
        <f t="shared" si="4"/>
        <v>0</v>
      </c>
      <c r="O90" s="5"/>
      <c r="P90" s="5"/>
      <c r="Q90" s="5">
        <f t="shared" si="11"/>
        <v>5</v>
      </c>
      <c r="R90" s="219">
        <f t="shared" si="5"/>
        <v>0</v>
      </c>
      <c r="S90" s="263">
        <f t="shared" si="5"/>
        <v>0</v>
      </c>
      <c r="T90" s="219">
        <f t="shared" si="5"/>
        <v>0</v>
      </c>
      <c r="U90" s="263">
        <f t="shared" si="5"/>
        <v>0</v>
      </c>
      <c r="V90" s="264" t="str">
        <f t="shared" si="6"/>
        <v>ERROR</v>
      </c>
      <c r="W90" s="265" t="e">
        <f t="shared" si="7"/>
        <v>#DIV/0!</v>
      </c>
      <c r="X90" s="226"/>
      <c r="Y90" s="5"/>
      <c r="Z90" s="5" t="e">
        <f t="shared" si="8"/>
        <v>#DIV/0!</v>
      </c>
      <c r="AA90" s="399"/>
      <c r="AB90" s="5" t="e">
        <f t="shared" si="9"/>
        <v>#DIV/0!</v>
      </c>
      <c r="AC90" s="5"/>
      <c r="AD90" s="260">
        <f t="shared" si="10"/>
        <v>0</v>
      </c>
      <c r="AE90" s="5"/>
      <c r="AF90" s="5"/>
    </row>
    <row r="91" spans="1:32" x14ac:dyDescent="0.2">
      <c r="A91" s="5"/>
      <c r="B91" s="219"/>
      <c r="C91" s="263"/>
      <c r="D91" s="219"/>
      <c r="E91" s="14"/>
      <c r="F91" s="264"/>
      <c r="G91" s="265"/>
      <c r="H91" s="226"/>
      <c r="I91" s="5"/>
      <c r="J91" s="5" t="e">
        <f t="shared" si="2"/>
        <v>#DIV/0!</v>
      </c>
      <c r="K91" s="399"/>
      <c r="L91" s="5" t="e">
        <f t="shared" si="3"/>
        <v>#DIV/0!</v>
      </c>
      <c r="M91" s="5"/>
      <c r="N91" s="260">
        <f t="shared" si="4"/>
        <v>0</v>
      </c>
      <c r="O91" s="5"/>
      <c r="P91" s="5"/>
      <c r="Q91" s="5">
        <f t="shared" si="11"/>
        <v>6</v>
      </c>
      <c r="R91" s="219">
        <f t="shared" si="5"/>
        <v>0</v>
      </c>
      <c r="S91" s="263">
        <f t="shared" si="5"/>
        <v>0</v>
      </c>
      <c r="T91" s="219">
        <f t="shared" si="5"/>
        <v>0</v>
      </c>
      <c r="U91" s="263">
        <f t="shared" si="5"/>
        <v>0</v>
      </c>
      <c r="V91" s="264" t="str">
        <f t="shared" si="6"/>
        <v>ERROR</v>
      </c>
      <c r="W91" s="265" t="e">
        <f t="shared" si="7"/>
        <v>#DIV/0!</v>
      </c>
      <c r="X91" s="226"/>
      <c r="Y91" s="5"/>
      <c r="Z91" s="5" t="e">
        <f t="shared" si="8"/>
        <v>#DIV/0!</v>
      </c>
      <c r="AA91" s="399"/>
      <c r="AB91" s="5" t="e">
        <f t="shared" si="9"/>
        <v>#DIV/0!</v>
      </c>
      <c r="AC91" s="5"/>
      <c r="AD91" s="260">
        <f t="shared" si="10"/>
        <v>0</v>
      </c>
      <c r="AE91" s="5"/>
      <c r="AF91" s="5"/>
    </row>
    <row r="92" spans="1:32" x14ac:dyDescent="0.2">
      <c r="A92" s="5"/>
      <c r="B92" s="219"/>
      <c r="C92" s="263"/>
      <c r="D92" s="219"/>
      <c r="E92" s="14"/>
      <c r="F92" s="264"/>
      <c r="G92" s="265"/>
      <c r="H92" s="226"/>
      <c r="I92" s="5"/>
      <c r="J92" s="5"/>
      <c r="K92" s="399"/>
      <c r="L92" s="5"/>
      <c r="M92" s="5"/>
      <c r="N92" s="260"/>
      <c r="O92" s="5"/>
      <c r="P92" s="5"/>
      <c r="Q92" s="5">
        <f t="shared" si="11"/>
        <v>7</v>
      </c>
      <c r="R92" s="219"/>
      <c r="S92" s="263"/>
      <c r="T92" s="219"/>
      <c r="U92" s="263"/>
      <c r="V92" s="264"/>
      <c r="W92" s="265"/>
      <c r="X92" s="226"/>
      <c r="Y92" s="5"/>
      <c r="Z92" s="5"/>
      <c r="AA92" s="399"/>
      <c r="AB92" s="5"/>
      <c r="AC92" s="5"/>
      <c r="AD92" s="260"/>
      <c r="AE92" s="5"/>
      <c r="AF92" s="5"/>
    </row>
    <row r="93" spans="1:32" x14ac:dyDescent="0.2">
      <c r="A93" s="5"/>
      <c r="B93" s="219"/>
      <c r="C93" s="263"/>
      <c r="D93" s="219"/>
      <c r="E93" s="14"/>
      <c r="F93" s="264"/>
      <c r="G93" s="265"/>
      <c r="H93" s="226"/>
      <c r="I93" s="5"/>
      <c r="J93" s="5"/>
      <c r="K93" s="399"/>
      <c r="L93" s="5"/>
      <c r="M93" s="5"/>
      <c r="N93" s="260"/>
      <c r="O93" s="5"/>
      <c r="P93" s="5"/>
      <c r="Q93" s="5">
        <f t="shared" si="11"/>
        <v>8</v>
      </c>
      <c r="R93" s="219"/>
      <c r="S93" s="263"/>
      <c r="T93" s="219"/>
      <c r="U93" s="263"/>
      <c r="V93" s="264"/>
      <c r="W93" s="265"/>
      <c r="X93" s="226"/>
      <c r="Y93" s="5"/>
      <c r="Z93" s="5"/>
      <c r="AA93" s="399"/>
      <c r="AB93" s="5"/>
      <c r="AC93" s="5"/>
      <c r="AD93" s="260"/>
      <c r="AE93" s="5"/>
      <c r="AF93" s="5"/>
    </row>
    <row r="94" spans="1:32" x14ac:dyDescent="0.2">
      <c r="A94" s="5"/>
      <c r="B94" s="219"/>
      <c r="C94" s="263"/>
      <c r="D94" s="219"/>
      <c r="E94" s="14"/>
      <c r="F94" s="264"/>
      <c r="G94" s="265"/>
      <c r="H94" s="226"/>
      <c r="I94" s="5"/>
      <c r="J94" s="5"/>
      <c r="K94" s="399"/>
      <c r="L94" s="5"/>
      <c r="M94" s="5"/>
      <c r="N94" s="260"/>
      <c r="O94" s="5"/>
      <c r="P94" s="5"/>
      <c r="Q94" s="5">
        <f t="shared" si="11"/>
        <v>9</v>
      </c>
      <c r="R94" s="219"/>
      <c r="S94" s="263"/>
      <c r="T94" s="219"/>
      <c r="U94" s="263"/>
      <c r="V94" s="264"/>
      <c r="W94" s="265"/>
      <c r="X94" s="226"/>
      <c r="Y94" s="5"/>
      <c r="Z94" s="5"/>
      <c r="AA94" s="399"/>
      <c r="AB94" s="5"/>
      <c r="AC94" s="5"/>
      <c r="AD94" s="260"/>
      <c r="AE94" s="5"/>
      <c r="AF94" s="5"/>
    </row>
    <row r="95" spans="1:32" x14ac:dyDescent="0.2">
      <c r="A95" s="5"/>
      <c r="B95" s="219"/>
      <c r="C95" s="263"/>
      <c r="D95" s="219"/>
      <c r="E95" s="14"/>
      <c r="F95" s="264"/>
      <c r="G95" s="265"/>
      <c r="H95" s="226"/>
      <c r="I95" s="5"/>
      <c r="J95" s="5"/>
      <c r="K95" s="399"/>
      <c r="L95" s="5"/>
      <c r="M95" s="5"/>
      <c r="N95" s="260"/>
      <c r="O95" s="5"/>
      <c r="P95" s="5"/>
      <c r="Q95" s="5">
        <f t="shared" si="11"/>
        <v>10</v>
      </c>
      <c r="R95" s="219"/>
      <c r="S95" s="263"/>
      <c r="T95" s="219"/>
      <c r="U95" s="263"/>
      <c r="V95" s="264"/>
      <c r="W95" s="265"/>
      <c r="X95" s="226"/>
      <c r="Y95" s="5"/>
      <c r="Z95" s="5"/>
      <c r="AA95" s="399"/>
      <c r="AB95" s="5"/>
      <c r="AC95" s="5"/>
      <c r="AD95" s="260"/>
      <c r="AE95" s="5"/>
      <c r="AF95" s="5"/>
    </row>
    <row r="96" spans="1:32" x14ac:dyDescent="0.2">
      <c r="A96" s="5"/>
      <c r="B96" s="219"/>
      <c r="C96" s="263"/>
      <c r="D96" s="219"/>
      <c r="E96" s="14"/>
      <c r="F96" s="264"/>
      <c r="G96" s="265"/>
      <c r="H96" s="226"/>
      <c r="I96" s="5"/>
      <c r="J96" s="5"/>
      <c r="K96" s="399"/>
      <c r="L96" s="5"/>
      <c r="M96" s="5"/>
      <c r="N96" s="260"/>
      <c r="O96" s="5"/>
      <c r="P96" s="5"/>
      <c r="Q96" s="5"/>
      <c r="R96" s="14"/>
      <c r="S96" s="263"/>
      <c r="T96" s="14"/>
      <c r="U96" s="263"/>
      <c r="V96" s="14"/>
      <c r="W96" s="265"/>
      <c r="X96" s="226"/>
      <c r="Y96" s="5"/>
      <c r="Z96" s="5"/>
      <c r="AA96" s="399"/>
      <c r="AB96" s="5"/>
      <c r="AC96" s="5"/>
      <c r="AD96" s="260"/>
      <c r="AE96" s="5"/>
      <c r="AF96" s="5"/>
    </row>
    <row r="97" spans="1:32" x14ac:dyDescent="0.2">
      <c r="A97" s="5"/>
      <c r="B97" s="219"/>
      <c r="C97" s="263"/>
      <c r="D97" s="219"/>
      <c r="E97" s="14"/>
      <c r="F97" s="264"/>
      <c r="G97" s="265"/>
      <c r="H97" s="226"/>
      <c r="I97" s="5"/>
      <c r="J97" s="5"/>
      <c r="K97" s="399"/>
      <c r="L97" s="5"/>
      <c r="M97" s="5"/>
      <c r="N97" s="260"/>
      <c r="O97" s="5"/>
      <c r="P97" s="5"/>
      <c r="Q97" s="5"/>
      <c r="R97" s="14"/>
      <c r="S97" s="263"/>
      <c r="T97" s="14"/>
      <c r="U97" s="263"/>
      <c r="V97" s="14"/>
      <c r="W97" s="265"/>
      <c r="X97" s="226"/>
      <c r="Y97" s="5"/>
      <c r="Z97" s="5"/>
      <c r="AA97" s="399"/>
      <c r="AB97" s="5"/>
      <c r="AC97" s="5"/>
      <c r="AD97" s="260"/>
      <c r="AE97" s="5"/>
      <c r="AF97" s="5"/>
    </row>
    <row r="98" spans="1:32" x14ac:dyDescent="0.2">
      <c r="A98" s="5"/>
      <c r="B98" s="219"/>
      <c r="C98" s="263"/>
      <c r="D98" s="219"/>
      <c r="E98" s="14"/>
      <c r="F98" s="264"/>
      <c r="G98" s="265"/>
      <c r="H98" s="226"/>
      <c r="I98" s="5"/>
      <c r="J98" s="5"/>
      <c r="K98" s="399"/>
      <c r="L98" s="5"/>
      <c r="M98" s="5"/>
      <c r="N98" s="260"/>
      <c r="O98" s="5"/>
      <c r="P98" s="5"/>
      <c r="Q98" s="5"/>
      <c r="R98" s="14"/>
      <c r="S98" s="263"/>
      <c r="T98" s="14"/>
      <c r="U98" s="263"/>
      <c r="V98" s="14"/>
      <c r="W98" s="265"/>
      <c r="X98" s="226"/>
      <c r="Y98" s="5"/>
      <c r="Z98" s="5"/>
      <c r="AA98" s="399"/>
      <c r="AB98" s="5"/>
      <c r="AC98" s="5"/>
      <c r="AD98" s="260"/>
      <c r="AE98" s="5"/>
      <c r="AF98" s="5"/>
    </row>
    <row r="99" spans="1:32" x14ac:dyDescent="0.2">
      <c r="A99" s="5"/>
      <c r="B99" s="219"/>
      <c r="C99" s="263"/>
      <c r="D99" s="219"/>
      <c r="E99" s="14">
        <f>'Main Dimensions Calcs'!D50-'Inner Tank Stiffeners 2'!E96</f>
        <v>7200</v>
      </c>
      <c r="F99" s="264"/>
      <c r="G99" s="265"/>
      <c r="H99" s="226"/>
      <c r="I99" s="5"/>
      <c r="J99" s="5"/>
      <c r="K99" s="399"/>
      <c r="L99" s="5"/>
      <c r="M99" s="5"/>
      <c r="N99" s="260"/>
      <c r="O99" s="5"/>
      <c r="P99" s="5"/>
      <c r="Q99" s="5"/>
      <c r="R99" s="14"/>
      <c r="S99" s="263"/>
      <c r="T99" s="14"/>
      <c r="U99" s="263"/>
      <c r="V99" s="14"/>
      <c r="W99" s="265"/>
      <c r="X99" s="226"/>
      <c r="Y99" s="5"/>
      <c r="Z99" s="5"/>
      <c r="AA99" s="399"/>
      <c r="AB99" s="5"/>
      <c r="AC99" s="5"/>
      <c r="AD99" s="260"/>
      <c r="AE99" s="5"/>
      <c r="AF99" s="5"/>
    </row>
    <row r="100" spans="1:32" x14ac:dyDescent="0.2">
      <c r="A100" s="5"/>
      <c r="B100" s="14" t="s">
        <v>1140</v>
      </c>
      <c r="C100" s="263"/>
      <c r="D100" s="14"/>
      <c r="E100" s="14"/>
      <c r="F100" s="14"/>
      <c r="G100" s="265"/>
      <c r="H100" s="226"/>
      <c r="I100" s="5"/>
      <c r="J100" s="5"/>
      <c r="K100" s="5"/>
      <c r="L100" s="5"/>
      <c r="M100" s="5"/>
      <c r="N100" s="260"/>
      <c r="O100" s="5"/>
      <c r="P100" s="5"/>
      <c r="Q100" s="5"/>
      <c r="R100" s="14"/>
      <c r="S100" s="263"/>
      <c r="T100" s="14"/>
      <c r="U100" s="14"/>
      <c r="V100" s="14"/>
      <c r="W100" s="265"/>
      <c r="X100" s="226"/>
      <c r="Y100" s="5"/>
      <c r="Z100" s="5"/>
      <c r="AA100" s="5"/>
      <c r="AB100" s="5"/>
      <c r="AC100" s="5"/>
      <c r="AD100" s="260"/>
      <c r="AE100" s="5"/>
      <c r="AF100" s="5"/>
    </row>
    <row r="101" spans="1:32" x14ac:dyDescent="0.2">
      <c r="A101" s="5"/>
      <c r="B101" s="14"/>
      <c r="C101" s="263"/>
      <c r="D101" s="14"/>
      <c r="E101" s="5"/>
      <c r="F101" s="14"/>
      <c r="G101" s="265"/>
      <c r="H101" s="226"/>
      <c r="I101" s="5"/>
      <c r="J101" s="5"/>
      <c r="K101" s="5"/>
      <c r="L101" s="5"/>
      <c r="M101" s="5"/>
      <c r="N101" s="260"/>
      <c r="O101" s="5"/>
      <c r="P101" s="5"/>
      <c r="Q101" s="5"/>
      <c r="R101" s="14"/>
      <c r="S101" s="263"/>
      <c r="T101" s="14"/>
      <c r="U101" s="14"/>
      <c r="V101" s="14"/>
      <c r="W101" s="265"/>
      <c r="X101" s="226"/>
      <c r="Y101" s="5"/>
      <c r="Z101" s="5"/>
      <c r="AA101" s="5"/>
      <c r="AB101" s="5"/>
      <c r="AC101" s="5"/>
      <c r="AD101" s="260"/>
      <c r="AE101" s="5"/>
      <c r="AF101" s="5"/>
    </row>
    <row r="102" spans="1:32" ht="12.75" customHeight="1" x14ac:dyDescent="0.2">
      <c r="A102" s="28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28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32" ht="12.75" customHeight="1" x14ac:dyDescent="0.2">
      <c r="A103" s="5" t="s">
        <v>360</v>
      </c>
      <c r="B103" s="64" t="s">
        <v>1141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 t="s">
        <v>360</v>
      </c>
      <c r="R103" s="64" t="s">
        <v>1141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32" ht="12.75" customHeight="1" x14ac:dyDescent="0.2">
      <c r="A104" s="5" t="s">
        <v>196</v>
      </c>
      <c r="B104" s="64" t="s">
        <v>1142</v>
      </c>
      <c r="C104" s="5"/>
      <c r="D104" s="5"/>
      <c r="E104" s="5"/>
      <c r="F104" s="5"/>
      <c r="G104" s="5"/>
      <c r="H104" s="5"/>
      <c r="I104" s="226"/>
      <c r="J104" s="5"/>
      <c r="K104" s="5"/>
      <c r="L104" s="5"/>
      <c r="M104" s="5"/>
      <c r="N104" s="5"/>
      <c r="O104" s="5"/>
      <c r="P104" s="5"/>
      <c r="Q104" s="5" t="s">
        <v>196</v>
      </c>
      <c r="R104" s="64" t="s">
        <v>1142</v>
      </c>
      <c r="S104" s="5"/>
      <c r="T104" s="5"/>
      <c r="U104" s="5"/>
      <c r="V104" s="5"/>
      <c r="W104" s="5"/>
      <c r="X104" s="5"/>
      <c r="Y104" s="226"/>
      <c r="Z104" s="5"/>
      <c r="AA104" s="5"/>
      <c r="AB104" s="5"/>
      <c r="AC104" s="5"/>
      <c r="AD104" s="5"/>
      <c r="AE104" s="5"/>
      <c r="AF104" s="5"/>
    </row>
    <row r="105" spans="1:32" ht="12.75" customHeight="1" x14ac:dyDescent="0.2">
      <c r="A105" s="5" t="s">
        <v>1143</v>
      </c>
      <c r="B105" s="900" t="s">
        <v>1144</v>
      </c>
      <c r="C105" s="809"/>
      <c r="D105" s="809"/>
      <c r="E105" s="809"/>
      <c r="F105" s="809"/>
      <c r="G105" s="809"/>
      <c r="H105" s="460"/>
      <c r="I105" s="226"/>
      <c r="J105" s="5"/>
      <c r="K105" s="5"/>
      <c r="L105" s="5"/>
      <c r="M105" s="5"/>
      <c r="N105" s="5"/>
      <c r="O105" s="5"/>
      <c r="P105" s="5"/>
      <c r="Q105" s="5" t="s">
        <v>1143</v>
      </c>
      <c r="R105" s="900" t="s">
        <v>1144</v>
      </c>
      <c r="S105" s="809"/>
      <c r="T105" s="809"/>
      <c r="U105" s="809"/>
      <c r="V105" s="809"/>
      <c r="W105" s="809"/>
      <c r="X105" s="460"/>
      <c r="Y105" s="226"/>
      <c r="Z105" s="5"/>
      <c r="AA105" s="5"/>
      <c r="AB105" s="5"/>
      <c r="AC105" s="5"/>
      <c r="AD105" s="5"/>
      <c r="AE105" s="5"/>
      <c r="AF105" s="5"/>
    </row>
    <row r="106" spans="1:32" ht="12.75" customHeight="1" x14ac:dyDescent="0.2">
      <c r="A106" s="5" t="s">
        <v>361</v>
      </c>
      <c r="B106" s="64" t="s">
        <v>1145</v>
      </c>
      <c r="C106" s="5"/>
      <c r="D106" s="5"/>
      <c r="E106" s="460"/>
      <c r="F106" s="460"/>
      <c r="G106" s="460"/>
      <c r="H106" s="460"/>
      <c r="I106" s="226"/>
      <c r="J106" s="5"/>
      <c r="K106" s="5"/>
      <c r="L106" s="5"/>
      <c r="M106" s="5"/>
      <c r="N106" s="5"/>
      <c r="O106" s="5"/>
      <c r="P106" s="5"/>
      <c r="Q106" s="5" t="s">
        <v>361</v>
      </c>
      <c r="R106" s="64" t="s">
        <v>1145</v>
      </c>
      <c r="S106" s="5"/>
      <c r="T106" s="5"/>
      <c r="U106" s="460"/>
      <c r="V106" s="460"/>
      <c r="W106" s="460"/>
      <c r="X106" s="460"/>
      <c r="Y106" s="226"/>
      <c r="Z106" s="5"/>
      <c r="AA106" s="5"/>
      <c r="AB106" s="5"/>
      <c r="AC106" s="5"/>
      <c r="AD106" s="5"/>
      <c r="AE106" s="5"/>
      <c r="AF106" s="5"/>
    </row>
    <row r="107" spans="1:32" ht="15.75" customHeight="1" x14ac:dyDescent="0.2">
      <c r="A107" s="5" t="s">
        <v>362</v>
      </c>
      <c r="B107" s="64" t="s">
        <v>1146</v>
      </c>
      <c r="C107" s="5"/>
      <c r="D107" s="5"/>
      <c r="E107" s="5"/>
      <c r="F107" s="5"/>
      <c r="G107" s="5"/>
      <c r="H107" s="5"/>
      <c r="I107" s="226"/>
      <c r="J107" s="5"/>
      <c r="K107" s="5"/>
      <c r="L107" s="5"/>
      <c r="M107" s="5"/>
      <c r="N107" s="5"/>
      <c r="O107" s="5"/>
      <c r="P107" s="5"/>
      <c r="Q107" s="5" t="s">
        <v>362</v>
      </c>
      <c r="R107" s="64" t="s">
        <v>1146</v>
      </c>
      <c r="S107" s="5"/>
      <c r="T107" s="5"/>
      <c r="U107" s="5"/>
      <c r="V107" s="5"/>
      <c r="W107" s="5"/>
      <c r="X107" s="5"/>
      <c r="Y107" s="226"/>
      <c r="Z107" s="5"/>
      <c r="AA107" s="5"/>
      <c r="AB107" s="5"/>
      <c r="AC107" s="5"/>
      <c r="AD107" s="5"/>
      <c r="AE107" s="5"/>
      <c r="AF107" s="5"/>
    </row>
    <row r="108" spans="1:32" x14ac:dyDescent="0.2">
      <c r="A108" s="5" t="s">
        <v>363</v>
      </c>
      <c r="B108" s="64" t="s">
        <v>1147</v>
      </c>
      <c r="C108" s="5"/>
      <c r="D108" s="5"/>
      <c r="E108" s="5"/>
      <c r="F108" s="5"/>
      <c r="G108" s="5"/>
      <c r="H108" s="5"/>
      <c r="I108" s="226"/>
      <c r="J108" s="5"/>
      <c r="K108" s="5"/>
      <c r="L108" s="5"/>
      <c r="M108" s="5"/>
      <c r="N108" s="5"/>
      <c r="O108" s="5"/>
      <c r="P108" s="5"/>
      <c r="Q108" s="5" t="s">
        <v>363</v>
      </c>
      <c r="R108" s="64" t="s">
        <v>1147</v>
      </c>
      <c r="S108" s="5"/>
      <c r="T108" s="5"/>
      <c r="U108" s="5"/>
      <c r="V108" s="5"/>
      <c r="W108" s="5"/>
      <c r="X108" s="5"/>
      <c r="Y108" s="226"/>
      <c r="Z108" s="5"/>
      <c r="AA108" s="5"/>
      <c r="AB108" s="5"/>
      <c r="AC108" s="5"/>
      <c r="AD108" s="5"/>
      <c r="AE108" s="5"/>
      <c r="AF108" s="5"/>
    </row>
    <row r="109" spans="1:32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spans="1:32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spans="1:32" x14ac:dyDescent="0.2">
      <c r="A112" s="5"/>
      <c r="B112" s="5"/>
      <c r="C112" s="5"/>
      <c r="D112" s="5"/>
      <c r="E112" s="5"/>
      <c r="F112" s="5"/>
      <c r="G112" s="5"/>
      <c r="H112" s="5"/>
      <c r="I112" s="219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219"/>
      <c r="Z112" s="5"/>
      <c r="AA112" s="5"/>
      <c r="AB112" s="5"/>
      <c r="AC112" s="5"/>
      <c r="AD112" s="5"/>
      <c r="AE112" s="5"/>
      <c r="AF112" s="5"/>
    </row>
    <row r="113" spans="1:32" x14ac:dyDescent="0.2">
      <c r="A113" s="5"/>
      <c r="B113" s="5"/>
      <c r="C113" s="5"/>
      <c r="D113" s="5"/>
      <c r="E113" s="5"/>
      <c r="F113" s="5"/>
      <c r="G113" s="5"/>
      <c r="H113" s="5"/>
      <c r="I113" s="219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219"/>
      <c r="Z113" s="5"/>
      <c r="AA113" s="5"/>
      <c r="AB113" s="5"/>
      <c r="AC113" s="5"/>
      <c r="AD113" s="5"/>
      <c r="AE113" s="5"/>
      <c r="AF113" s="5"/>
    </row>
    <row r="114" spans="1:32" x14ac:dyDescent="0.2">
      <c r="A114" s="5"/>
      <c r="B114" s="5"/>
      <c r="C114" s="5"/>
      <c r="D114" s="5"/>
      <c r="E114" s="5"/>
      <c r="F114" s="5"/>
      <c r="G114" s="5"/>
      <c r="H114" s="5"/>
      <c r="I114" s="219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219"/>
      <c r="Z114" s="5"/>
      <c r="AA114" s="5"/>
      <c r="AB114" s="5"/>
      <c r="AC114" s="5"/>
      <c r="AD114" s="5"/>
      <c r="AE114" s="5"/>
      <c r="AF114" s="5"/>
    </row>
    <row r="115" spans="1:32" x14ac:dyDescent="0.2">
      <c r="A115" s="5"/>
      <c r="B115" s="5"/>
      <c r="C115" s="5"/>
      <c r="D115" s="5"/>
      <c r="E115" s="5"/>
      <c r="F115" s="5"/>
      <c r="G115" s="5"/>
      <c r="H115" s="5"/>
      <c r="I115" s="1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4"/>
      <c r="Z115" s="5"/>
      <c r="AA115" s="5"/>
      <c r="AB115" s="5"/>
      <c r="AC115" s="5"/>
      <c r="AD115" s="5"/>
      <c r="AE115" s="5"/>
      <c r="AF115" s="5"/>
    </row>
    <row r="116" spans="1:32" ht="13.5" customHeight="1" thickBot="1" x14ac:dyDescent="0.25">
      <c r="A116" s="5"/>
      <c r="B116" s="5"/>
      <c r="C116" s="5"/>
      <c r="D116" s="5"/>
      <c r="E116" s="5"/>
      <c r="F116" s="5"/>
      <c r="G116" s="5"/>
      <c r="H116" s="5"/>
      <c r="I116" s="1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4"/>
      <c r="Z116" s="5"/>
      <c r="AA116" s="5"/>
      <c r="AB116" s="5"/>
      <c r="AC116" s="5"/>
      <c r="AD116" s="5"/>
      <c r="AE116" s="5"/>
      <c r="AF116" s="5"/>
    </row>
    <row r="117" spans="1:32" ht="17.25" customHeight="1" thickTop="1" thickBot="1" x14ac:dyDescent="0.3">
      <c r="A117" s="988"/>
      <c r="B117" s="823"/>
      <c r="C117" s="871"/>
      <c r="D117" s="934" t="str">
        <f>'Front Page'!$A$13</f>
        <v>Mechanical  Calculations</v>
      </c>
      <c r="E117" s="842"/>
      <c r="F117" s="842"/>
      <c r="G117" s="842"/>
      <c r="H117" s="859"/>
      <c r="I117" s="14"/>
      <c r="J117" s="5"/>
      <c r="K117" s="5"/>
      <c r="L117" s="5"/>
      <c r="M117" s="5"/>
      <c r="N117" s="5"/>
      <c r="O117" s="5"/>
      <c r="P117" s="5"/>
      <c r="Q117" s="988"/>
      <c r="R117" s="823"/>
      <c r="S117" s="871"/>
      <c r="T117" s="934" t="str">
        <f>'Front Page'!$A$13</f>
        <v>Mechanical  Calculations</v>
      </c>
      <c r="U117" s="842"/>
      <c r="V117" s="842"/>
      <c r="W117" s="842"/>
      <c r="X117" s="859"/>
      <c r="Y117" s="14"/>
      <c r="Z117" s="5"/>
      <c r="AA117" s="5"/>
      <c r="AB117" s="5"/>
      <c r="AC117" s="5"/>
      <c r="AD117" s="5"/>
      <c r="AE117" s="5"/>
      <c r="AF117" s="5"/>
    </row>
    <row r="118" spans="1:32" ht="16.5" customHeight="1" thickBot="1" x14ac:dyDescent="0.3">
      <c r="A118" s="825"/>
      <c r="B118" s="809"/>
      <c r="C118" s="989"/>
      <c r="D118" s="984"/>
      <c r="E118" s="831"/>
      <c r="F118" s="831"/>
      <c r="G118" s="831"/>
      <c r="H118" s="854"/>
      <c r="I118" s="5"/>
      <c r="J118" s="5"/>
      <c r="K118" s="5"/>
      <c r="L118" s="5"/>
      <c r="M118" s="5"/>
      <c r="N118" s="5"/>
      <c r="O118" s="5"/>
      <c r="P118" s="5"/>
      <c r="Q118" s="825"/>
      <c r="R118" s="809"/>
      <c r="S118" s="989"/>
      <c r="T118" s="984"/>
      <c r="U118" s="831"/>
      <c r="V118" s="831"/>
      <c r="W118" s="831"/>
      <c r="X118" s="854"/>
      <c r="Y118" s="5"/>
      <c r="Z118" s="5"/>
      <c r="AA118" s="5"/>
      <c r="AB118" s="5"/>
      <c r="AC118" s="5"/>
      <c r="AD118" s="5"/>
      <c r="AE118" s="5"/>
      <c r="AF118" s="5"/>
    </row>
    <row r="119" spans="1:32" ht="16.5" customHeight="1" thickBot="1" x14ac:dyDescent="0.3">
      <c r="A119" s="827"/>
      <c r="B119" s="828"/>
      <c r="C119" s="857"/>
      <c r="D119" s="985" t="s">
        <v>1042</v>
      </c>
      <c r="E119" s="834"/>
      <c r="F119" s="834"/>
      <c r="G119" s="834"/>
      <c r="H119" s="986"/>
      <c r="I119" s="5"/>
      <c r="J119" s="5"/>
      <c r="K119" s="5"/>
      <c r="L119" s="5"/>
      <c r="M119" s="5"/>
      <c r="N119" s="5"/>
      <c r="O119" s="5"/>
      <c r="P119" s="5"/>
      <c r="Q119" s="827"/>
      <c r="R119" s="828"/>
      <c r="S119" s="857"/>
      <c r="T119" s="985" t="s">
        <v>1042</v>
      </c>
      <c r="U119" s="834"/>
      <c r="V119" s="834"/>
      <c r="W119" s="834"/>
      <c r="X119" s="986"/>
      <c r="Y119" s="5"/>
      <c r="Z119" s="5"/>
      <c r="AA119" s="5"/>
      <c r="AB119" s="5"/>
      <c r="AC119" s="5"/>
      <c r="AD119" s="5"/>
      <c r="AE119" s="5"/>
      <c r="AF119" s="5"/>
    </row>
    <row r="120" spans="1:32" ht="16.5" customHeight="1" thickTop="1" thickBot="1" x14ac:dyDescent="0.3">
      <c r="A120" s="873"/>
      <c r="B120" s="848"/>
      <c r="C120" s="865"/>
      <c r="D120" s="385" t="str">
        <f>'Front Page'!$D$4</f>
        <v>Doc Nº</v>
      </c>
      <c r="E120" s="980"/>
      <c r="F120" s="843"/>
      <c r="G120" s="980"/>
      <c r="H120" s="843"/>
      <c r="I120" s="5"/>
      <c r="J120" s="5"/>
      <c r="K120" s="5"/>
      <c r="L120" s="5"/>
      <c r="M120" s="5"/>
      <c r="N120" s="5"/>
      <c r="O120" s="5"/>
      <c r="P120" s="5"/>
      <c r="Q120" s="873"/>
      <c r="R120" s="848"/>
      <c r="S120" s="865"/>
      <c r="T120" s="385" t="str">
        <f>'Front Page'!$D$4</f>
        <v>Doc Nº</v>
      </c>
      <c r="U120" s="980"/>
      <c r="V120" s="843"/>
      <c r="W120" s="980"/>
      <c r="X120" s="843"/>
      <c r="Y120" s="5"/>
      <c r="Z120" s="5"/>
      <c r="AA120" s="5"/>
      <c r="AB120" s="5"/>
      <c r="AC120" s="5"/>
      <c r="AD120" s="5"/>
      <c r="AE120" s="5"/>
      <c r="AF120" s="5"/>
    </row>
    <row r="121" spans="1:32" ht="15.75" customHeight="1" thickBot="1" x14ac:dyDescent="0.3">
      <c r="A121" s="860"/>
      <c r="B121" s="851"/>
      <c r="C121" s="861"/>
      <c r="D121" s="386" t="str">
        <f>'Front Page'!$D$5</f>
        <v>Project</v>
      </c>
      <c r="E121" s="899"/>
      <c r="F121" s="835"/>
      <c r="G121" s="131" t="s">
        <v>5</v>
      </c>
      <c r="H121" s="132"/>
      <c r="I121" s="5"/>
      <c r="J121" s="5"/>
      <c r="K121" s="5"/>
      <c r="L121" s="5"/>
      <c r="M121" s="5"/>
      <c r="N121" s="5"/>
      <c r="O121" s="5"/>
      <c r="P121" s="5"/>
      <c r="Q121" s="860"/>
      <c r="R121" s="851"/>
      <c r="S121" s="861"/>
      <c r="T121" s="386" t="str">
        <f>'Front Page'!$D$5</f>
        <v>Project</v>
      </c>
      <c r="U121" s="899"/>
      <c r="V121" s="835"/>
      <c r="W121" s="131" t="s">
        <v>5</v>
      </c>
      <c r="X121" s="132"/>
      <c r="Y121" s="5"/>
      <c r="Z121" s="5"/>
      <c r="AA121" s="5"/>
      <c r="AB121" s="5"/>
      <c r="AC121" s="5"/>
      <c r="AD121" s="5"/>
      <c r="AE121" s="5"/>
      <c r="AF121" s="5"/>
    </row>
    <row r="122" spans="1:32" ht="13.5" customHeight="1" thickTop="1" x14ac:dyDescent="0.2">
      <c r="A122" s="4"/>
      <c r="B122" s="4"/>
      <c r="C122" s="4"/>
      <c r="D122" s="4"/>
      <c r="E122" s="4"/>
      <c r="F122" s="4"/>
      <c r="G122" s="4"/>
      <c r="H122" s="4"/>
      <c r="I122" s="5"/>
      <c r="J122" s="5"/>
      <c r="K122" s="5"/>
      <c r="L122" s="5"/>
      <c r="M122" s="5"/>
      <c r="N122" s="5"/>
      <c r="O122" s="5"/>
      <c r="P122" s="5"/>
      <c r="Q122" s="4"/>
      <c r="R122" s="4"/>
      <c r="S122" s="4"/>
      <c r="T122" s="4"/>
      <c r="U122" s="4"/>
      <c r="V122" s="4"/>
      <c r="W122" s="4"/>
      <c r="X122" s="4"/>
      <c r="Y122" s="5"/>
      <c r="Z122" s="5"/>
      <c r="AA122" s="5"/>
      <c r="AB122" s="5"/>
      <c r="AC122" s="5"/>
      <c r="AD122" s="5"/>
      <c r="AE122" s="5"/>
      <c r="AF122" s="5"/>
    </row>
    <row r="123" spans="1:32" x14ac:dyDescent="0.2">
      <c r="A123" s="118" t="s">
        <v>1148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18" t="s">
        <v>1148</v>
      </c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 x14ac:dyDescent="0.2">
      <c r="A125" s="14"/>
      <c r="B125" s="14" t="s">
        <v>1149</v>
      </c>
      <c r="C125" s="14" t="s">
        <v>1150</v>
      </c>
      <c r="D125" s="14" t="s">
        <v>1151</v>
      </c>
      <c r="E125" s="14" t="s">
        <v>1152</v>
      </c>
      <c r="F125" s="14" t="s">
        <v>1153</v>
      </c>
      <c r="G125" s="14"/>
      <c r="H125" s="14" t="s">
        <v>1136</v>
      </c>
      <c r="I125" s="5"/>
      <c r="J125" s="5"/>
      <c r="K125" s="5"/>
      <c r="L125" s="5"/>
      <c r="M125" s="5"/>
      <c r="N125" s="5"/>
      <c r="O125" s="5"/>
      <c r="P125" s="5"/>
      <c r="Q125" s="14"/>
      <c r="R125" s="14" t="s">
        <v>1149</v>
      </c>
      <c r="S125" s="14" t="s">
        <v>1150</v>
      </c>
      <c r="T125" s="14" t="s">
        <v>1151</v>
      </c>
      <c r="U125" s="14" t="s">
        <v>1152</v>
      </c>
      <c r="V125" s="14" t="s">
        <v>1153</v>
      </c>
      <c r="W125" s="14"/>
      <c r="X125" s="14" t="s">
        <v>1136</v>
      </c>
      <c r="Y125" s="5"/>
      <c r="Z125" s="5"/>
      <c r="AA125" s="5"/>
      <c r="AB125" s="5"/>
      <c r="AC125" s="5"/>
      <c r="AD125" s="5"/>
      <c r="AE125" s="5"/>
      <c r="AF125" s="5"/>
    </row>
    <row r="126" spans="1:32" x14ac:dyDescent="0.2">
      <c r="A126" s="14"/>
      <c r="B126" s="14" t="s">
        <v>1155</v>
      </c>
      <c r="C126" s="14" t="s">
        <v>247</v>
      </c>
      <c r="D126" s="14" t="s">
        <v>247</v>
      </c>
      <c r="E126" s="14" t="s">
        <v>247</v>
      </c>
      <c r="F126" s="14" t="s">
        <v>1155</v>
      </c>
      <c r="G126" s="14"/>
      <c r="H126" s="14"/>
      <c r="I126" s="5"/>
      <c r="J126" s="5"/>
      <c r="K126" s="5"/>
      <c r="L126" s="5"/>
      <c r="M126" s="5"/>
      <c r="N126" s="5"/>
      <c r="O126" s="5"/>
      <c r="P126" s="5"/>
      <c r="Q126" s="14"/>
      <c r="R126" s="170" t="s">
        <v>1154</v>
      </c>
      <c r="S126" s="170" t="s">
        <v>248</v>
      </c>
      <c r="T126" s="170" t="s">
        <v>248</v>
      </c>
      <c r="U126" s="170" t="s">
        <v>248</v>
      </c>
      <c r="V126" s="170" t="s">
        <v>1154</v>
      </c>
      <c r="W126" s="14"/>
      <c r="X126" s="14"/>
      <c r="Y126" s="5"/>
      <c r="Z126" s="5"/>
      <c r="AA126" s="5"/>
      <c r="AB126" s="5"/>
      <c r="AC126" s="5"/>
      <c r="AD126" s="5"/>
      <c r="AE126" s="5"/>
      <c r="AF126" s="5"/>
    </row>
    <row r="127" spans="1:32" x14ac:dyDescent="0.2">
      <c r="A127" s="14">
        <v>1</v>
      </c>
      <c r="B127" s="14">
        <f t="shared" ref="B127:B132" si="12">($B$17*B66*(D86/2+D87/2)*$B$15^3)/(8*$B$16*($B$24-1))</f>
        <v>756594.60909576598</v>
      </c>
      <c r="C127" s="260">
        <f t="shared" ref="C127:C132" si="13">1.1*B86*($B$15/B86)^0.5</f>
        <v>446.72461315669636</v>
      </c>
      <c r="D127" s="14">
        <f t="shared" ref="D127:D132" si="14">MIN(IF(C127*B86&gt;$B$33,$B$33/B86,C127),32*B86)</f>
        <v>150</v>
      </c>
      <c r="E127" s="260">
        <f t="shared" ref="E127:E132" si="15">($K$31*$K$30*($B$31+$K$31/2+B86)+$B$32*$B$31*($B$31+B86)/2+D127*B86^2/2)/($K$31*$K$30+$B$32*$B$31+D127*B86)</f>
        <v>34</v>
      </c>
      <c r="F127" s="14">
        <f t="shared" ref="F127:F132" si="16">$K$31*$K$30*($B$31+$B$32/2-E127)^2+$B$32*($B$31-E127)*(($B$31-E127)/2)^2+$B$32*E127*(E127/2)^2+B86*D127*(E127+B86/2)^2+$K$30*$K$31^3/12+$B$32*($B$31-E127)^3/12+$B$32*E127^3/12+D127*B86^3/12</f>
        <v>3990400</v>
      </c>
      <c r="G127" s="264" t="str">
        <f t="shared" ref="G127:G132" si="17">IF(F127&gt;B127,"OK","ERROR")</f>
        <v>OK</v>
      </c>
      <c r="H127" s="417">
        <f t="shared" ref="H127:H132" si="18">F127/B127</f>
        <v>5.2741586472167352</v>
      </c>
      <c r="I127" s="5"/>
      <c r="J127" s="64" t="s">
        <v>1061</v>
      </c>
      <c r="K127" s="5" t="e">
        <f>(445*($B$30/1000)^3/('Main Dimensions Calcs'!M18/1000)^2/5)^0.5</f>
        <v>#DIV/0!</v>
      </c>
      <c r="L127" s="5"/>
      <c r="M127" s="5"/>
      <c r="N127" s="5"/>
      <c r="O127" s="5"/>
      <c r="P127" s="5"/>
      <c r="Q127" s="14">
        <v>1</v>
      </c>
      <c r="R127" s="14">
        <f t="shared" ref="R127:R135" si="19">B127/(25.4*25.4*25.4*25.4)</f>
        <v>1.8177258192485841</v>
      </c>
      <c r="S127" s="263">
        <f t="shared" ref="S127:U132" si="20">C127/25.4</f>
        <v>17.587583195145527</v>
      </c>
      <c r="T127" s="263">
        <f t="shared" si="20"/>
        <v>5.9055118110236222</v>
      </c>
      <c r="U127" s="263">
        <f t="shared" si="20"/>
        <v>1.3385826771653544</v>
      </c>
      <c r="V127" s="14">
        <f t="shared" ref="V127:V132" si="21">F127/(25.4*25.4*25.4*25.4)</f>
        <v>9.5869743478590443</v>
      </c>
      <c r="W127" s="264" t="str">
        <f t="shared" ref="W127:W132" si="22">IF(V127&gt;R127,"OK","ERROR")</f>
        <v>OK</v>
      </c>
      <c r="X127" s="417">
        <f t="shared" ref="X127:X132" si="23">V127/R127</f>
        <v>5.2741586472167352</v>
      </c>
      <c r="Y127" s="5"/>
      <c r="Z127" s="64" t="s">
        <v>1061</v>
      </c>
      <c r="AA127" s="5" t="e">
        <f>(445*($B$30/1000)^3/('Main Dimensions Calcs'!AC18/1000)^2/5)^0.5</f>
        <v>#DIV/0!</v>
      </c>
      <c r="AB127" s="5"/>
      <c r="AC127" s="5"/>
      <c r="AD127" s="5"/>
      <c r="AE127" s="5"/>
      <c r="AF127" s="5"/>
    </row>
    <row r="128" spans="1:32" x14ac:dyDescent="0.2">
      <c r="A128" s="14">
        <f t="shared" ref="A128:A135" si="24">A127+1</f>
        <v>2</v>
      </c>
      <c r="B128" s="14">
        <f t="shared" si="12"/>
        <v>797880.66505541024</v>
      </c>
      <c r="C128" s="260">
        <f t="shared" si="13"/>
        <v>446.72461315669636</v>
      </c>
      <c r="D128" s="14">
        <f t="shared" si="14"/>
        <v>150</v>
      </c>
      <c r="E128" s="260">
        <f t="shared" si="15"/>
        <v>34</v>
      </c>
      <c r="F128" s="14">
        <f t="shared" si="16"/>
        <v>3990400</v>
      </c>
      <c r="G128" s="264" t="str">
        <f t="shared" si="17"/>
        <v>OK</v>
      </c>
      <c r="H128" s="417">
        <f t="shared" si="18"/>
        <v>5.0012491526196836</v>
      </c>
      <c r="I128" s="14" t="s">
        <v>940</v>
      </c>
      <c r="J128" s="14" t="s">
        <v>247</v>
      </c>
      <c r="K128" s="5" t="s">
        <v>1156</v>
      </c>
      <c r="L128" s="14" t="s">
        <v>334</v>
      </c>
      <c r="M128" s="5"/>
      <c r="N128" s="5"/>
      <c r="O128" s="5"/>
      <c r="P128" s="5"/>
      <c r="Q128" s="14">
        <f t="shared" ref="Q128:Q135" si="25">Q127+1</f>
        <v>2</v>
      </c>
      <c r="R128" s="14">
        <f t="shared" si="19"/>
        <v>1.9169159654518175</v>
      </c>
      <c r="S128" s="263">
        <f t="shared" si="20"/>
        <v>17.587583195145527</v>
      </c>
      <c r="T128" s="263">
        <f t="shared" si="20"/>
        <v>5.9055118110236222</v>
      </c>
      <c r="U128" s="263">
        <f t="shared" si="20"/>
        <v>1.3385826771653544</v>
      </c>
      <c r="V128" s="14">
        <f t="shared" si="21"/>
        <v>9.5869743478590443</v>
      </c>
      <c r="W128" s="264" t="str">
        <f t="shared" si="22"/>
        <v>OK</v>
      </c>
      <c r="X128" s="417">
        <f t="shared" si="23"/>
        <v>5.0012491526196836</v>
      </c>
      <c r="Y128" s="14" t="s">
        <v>940</v>
      </c>
      <c r="Z128" s="14" t="s">
        <v>247</v>
      </c>
      <c r="AA128" s="5" t="s">
        <v>1156</v>
      </c>
      <c r="AB128" s="14" t="s">
        <v>334</v>
      </c>
      <c r="AC128" s="5"/>
      <c r="AD128" s="5"/>
      <c r="AE128" s="5"/>
      <c r="AF128" s="5"/>
    </row>
    <row r="129" spans="1:32" x14ac:dyDescent="0.2">
      <c r="A129" s="14">
        <f t="shared" si="24"/>
        <v>3</v>
      </c>
      <c r="B129" s="14">
        <f t="shared" si="12"/>
        <v>0</v>
      </c>
      <c r="C129" s="260" t="e">
        <f t="shared" si="13"/>
        <v>#DIV/0!</v>
      </c>
      <c r="D129" s="14" t="e">
        <f t="shared" si="14"/>
        <v>#DIV/0!</v>
      </c>
      <c r="E129" s="260" t="e">
        <f t="shared" si="15"/>
        <v>#DIV/0!</v>
      </c>
      <c r="F129" s="14" t="e">
        <f t="shared" si="16"/>
        <v>#DIV/0!</v>
      </c>
      <c r="G129" s="264" t="e">
        <f t="shared" si="17"/>
        <v>#DIV/0!</v>
      </c>
      <c r="H129" s="417" t="e">
        <f t="shared" si="18"/>
        <v>#DIV/0!</v>
      </c>
      <c r="I129" s="14" t="s">
        <v>1157</v>
      </c>
      <c r="J129" s="5" t="s">
        <v>1158</v>
      </c>
      <c r="K129" s="5" t="s">
        <v>190</v>
      </c>
      <c r="L129" s="14" t="s">
        <v>1159</v>
      </c>
      <c r="M129" s="14" t="s">
        <v>1160</v>
      </c>
      <c r="N129" s="14" t="s">
        <v>1161</v>
      </c>
      <c r="O129" s="5"/>
      <c r="P129" s="5"/>
      <c r="Q129" s="14">
        <f t="shared" si="25"/>
        <v>3</v>
      </c>
      <c r="R129" s="14">
        <f t="shared" si="19"/>
        <v>0</v>
      </c>
      <c r="S129" s="263" t="e">
        <f t="shared" si="20"/>
        <v>#DIV/0!</v>
      </c>
      <c r="T129" s="263" t="e">
        <f t="shared" si="20"/>
        <v>#DIV/0!</v>
      </c>
      <c r="U129" s="263" t="e">
        <f t="shared" si="20"/>
        <v>#DIV/0!</v>
      </c>
      <c r="V129" s="14" t="e">
        <f t="shared" si="21"/>
        <v>#DIV/0!</v>
      </c>
      <c r="W129" s="264" t="e">
        <f t="shared" si="22"/>
        <v>#DIV/0!</v>
      </c>
      <c r="X129" s="417" t="e">
        <f t="shared" si="23"/>
        <v>#DIV/0!</v>
      </c>
      <c r="Y129" s="14" t="s">
        <v>1157</v>
      </c>
      <c r="Z129" s="5" t="s">
        <v>1158</v>
      </c>
      <c r="AA129" s="5" t="s">
        <v>190</v>
      </c>
      <c r="AB129" s="14" t="s">
        <v>1159</v>
      </c>
      <c r="AC129" s="14" t="s">
        <v>1160</v>
      </c>
      <c r="AD129" s="14" t="s">
        <v>1161</v>
      </c>
      <c r="AE129" s="5"/>
      <c r="AF129" s="5"/>
    </row>
    <row r="130" spans="1:32" x14ac:dyDescent="0.2">
      <c r="A130" s="14">
        <f t="shared" si="24"/>
        <v>4</v>
      </c>
      <c r="B130" s="14">
        <f t="shared" si="12"/>
        <v>0</v>
      </c>
      <c r="C130" s="260" t="e">
        <f t="shared" si="13"/>
        <v>#DIV/0!</v>
      </c>
      <c r="D130" s="14" t="e">
        <f t="shared" si="14"/>
        <v>#DIV/0!</v>
      </c>
      <c r="E130" s="260" t="e">
        <f t="shared" si="15"/>
        <v>#DIV/0!</v>
      </c>
      <c r="F130" s="14" t="e">
        <f t="shared" si="16"/>
        <v>#DIV/0!</v>
      </c>
      <c r="G130" s="264" t="e">
        <f t="shared" si="17"/>
        <v>#DIV/0!</v>
      </c>
      <c r="H130" s="417" t="e">
        <f t="shared" si="18"/>
        <v>#DIV/0!</v>
      </c>
      <c r="I130" s="5">
        <f>1000*B66*1000*(D86+D87)/2000</f>
        <v>6163.6597733333338</v>
      </c>
      <c r="J130" s="5">
        <f>13.4*($B$30/1000*B86)^0.5</f>
        <v>173.08733887838244</v>
      </c>
      <c r="K130" s="5" t="e">
        <f>37.5*($B$30/1000)^3*I130/($B$16*($K$127-1))</f>
        <v>#DIV/0!</v>
      </c>
      <c r="L130" s="5">
        <f>2*I130*$B$30/(1000*2*103)</f>
        <v>1248.0513420644661</v>
      </c>
      <c r="M130" s="5">
        <f>MAX(L130-2*J130*B86,0.5*L130)</f>
        <v>624.02567103223305</v>
      </c>
      <c r="N130" s="5" t="e">
        <f>K130*10000/(B127)</f>
        <v>#DIV/0!</v>
      </c>
      <c r="O130" s="5">
        <f>L130/B156</f>
        <v>2.514016126209933</v>
      </c>
      <c r="P130" s="5"/>
      <c r="Q130" s="14">
        <f t="shared" si="25"/>
        <v>4</v>
      </c>
      <c r="R130" s="14">
        <f t="shared" si="19"/>
        <v>0</v>
      </c>
      <c r="S130" s="263" t="e">
        <f t="shared" si="20"/>
        <v>#DIV/0!</v>
      </c>
      <c r="T130" s="263" t="e">
        <f t="shared" si="20"/>
        <v>#DIV/0!</v>
      </c>
      <c r="U130" s="263" t="e">
        <f t="shared" si="20"/>
        <v>#DIV/0!</v>
      </c>
      <c r="V130" s="14" t="e">
        <f t="shared" si="21"/>
        <v>#DIV/0!</v>
      </c>
      <c r="W130" s="264" t="e">
        <f t="shared" si="22"/>
        <v>#DIV/0!</v>
      </c>
      <c r="X130" s="417" t="e">
        <f t="shared" si="23"/>
        <v>#DIV/0!</v>
      </c>
      <c r="Y130" s="5">
        <f>1000*R66*1000*(T86+T87)/2000</f>
        <v>35195.953288356955</v>
      </c>
      <c r="Z130" s="5">
        <f>13.4*($B$30/1000*R86)^0.5</f>
        <v>34.343807611559946</v>
      </c>
      <c r="AA130" s="5" t="e">
        <f>37.5*($B$30/1000)^3*Y130/($B$16*($K$127-1))</f>
        <v>#DIV/0!</v>
      </c>
      <c r="AB130" s="5">
        <f>2*Y130*$B$30/(1000*2*103)</f>
        <v>7126.6679784657535</v>
      </c>
      <c r="AC130" s="5">
        <f>MAX(AB130-2*Z130*R86,0.5*AB130)</f>
        <v>7105.0340839072906</v>
      </c>
      <c r="AD130" s="5" t="e">
        <f>AA130*10000/(R127)</f>
        <v>#DIV/0!</v>
      </c>
      <c r="AE130" s="5">
        <f>AB130/R156</f>
        <v>9261.6756332154109</v>
      </c>
      <c r="AF130" s="5"/>
    </row>
    <row r="131" spans="1:32" ht="14.25" customHeight="1" x14ac:dyDescent="0.2">
      <c r="A131" s="14">
        <f t="shared" si="24"/>
        <v>5</v>
      </c>
      <c r="B131" s="14">
        <f t="shared" si="12"/>
        <v>0</v>
      </c>
      <c r="C131" s="260" t="e">
        <f t="shared" si="13"/>
        <v>#DIV/0!</v>
      </c>
      <c r="D131" s="14" t="e">
        <f t="shared" si="14"/>
        <v>#DIV/0!</v>
      </c>
      <c r="E131" s="260" t="e">
        <f t="shared" si="15"/>
        <v>#DIV/0!</v>
      </c>
      <c r="F131" s="14" t="e">
        <f t="shared" si="16"/>
        <v>#DIV/0!</v>
      </c>
      <c r="G131" s="264" t="e">
        <f t="shared" si="17"/>
        <v>#DIV/0!</v>
      </c>
      <c r="H131" s="417" t="e">
        <f t="shared" si="18"/>
        <v>#DIV/0!</v>
      </c>
      <c r="I131" s="5">
        <f>1000*B67*1000*(D87+D88)/2000</f>
        <v>6500</v>
      </c>
      <c r="J131" s="5">
        <f>13.4*($B$30/1000*B87)^0.5</f>
        <v>173.08733887838244</v>
      </c>
      <c r="K131" s="5" t="e">
        <f>37.5*($B$30/1000)^3*I131/($B$16*($K$127-1))</f>
        <v>#DIV/0!</v>
      </c>
      <c r="L131" s="5">
        <f>2*I131*$B$30/(1000*2*103)</f>
        <v>1316.1553398058252</v>
      </c>
      <c r="M131" s="5">
        <f>MAX(L131-2*J131*B87,0.5*L131)</f>
        <v>658.07766990291259</v>
      </c>
      <c r="N131" s="5" t="e">
        <f>K131*10000/(B128)</f>
        <v>#DIV/0!</v>
      </c>
      <c r="O131" s="5">
        <f>L131/B157</f>
        <v>1.523646137096929</v>
      </c>
      <c r="P131" s="5"/>
      <c r="Q131" s="14">
        <f t="shared" si="25"/>
        <v>5</v>
      </c>
      <c r="R131" s="14">
        <f t="shared" si="19"/>
        <v>0</v>
      </c>
      <c r="S131" s="263" t="e">
        <f t="shared" si="20"/>
        <v>#DIV/0!</v>
      </c>
      <c r="T131" s="263" t="e">
        <f t="shared" si="20"/>
        <v>#DIV/0!</v>
      </c>
      <c r="U131" s="263" t="e">
        <f t="shared" si="20"/>
        <v>#DIV/0!</v>
      </c>
      <c r="V131" s="14" t="e">
        <f t="shared" si="21"/>
        <v>#DIV/0!</v>
      </c>
      <c r="W131" s="264" t="e">
        <f t="shared" si="22"/>
        <v>#DIV/0!</v>
      </c>
      <c r="X131" s="417" t="e">
        <f t="shared" si="23"/>
        <v>#DIV/0!</v>
      </c>
      <c r="Y131" s="5">
        <f>1000*R67*1000*(T87+T88)/2000</f>
        <v>37116.535433070858</v>
      </c>
      <c r="Z131" s="5">
        <f>13.4*($B$30/1000*R87)^0.5</f>
        <v>34.343807611559946</v>
      </c>
      <c r="AA131" s="5" t="e">
        <f>37.5*($B$30/1000)^3*Y131/($B$16*($K$127-1))</f>
        <v>#DIV/0!</v>
      </c>
      <c r="AB131" s="5">
        <f>2*Y131*$B$30/(1000*2*103)</f>
        <v>7515.5578931274358</v>
      </c>
      <c r="AC131" s="5">
        <f>MAX(AB131-2*Z131*R87,0.5*AB131)</f>
        <v>7493.9239985689728</v>
      </c>
      <c r="AD131" s="5" t="e">
        <f>AA131*10000/(R128)</f>
        <v>#DIV/0!</v>
      </c>
      <c r="AE131" s="5">
        <f>AB131/R157</f>
        <v>5613.1367474032795</v>
      </c>
      <c r="AF131" s="5"/>
    </row>
    <row r="132" spans="1:32" ht="13.5" customHeight="1" x14ac:dyDescent="0.2">
      <c r="A132" s="14">
        <f t="shared" si="24"/>
        <v>6</v>
      </c>
      <c r="B132" s="14">
        <f t="shared" si="12"/>
        <v>0</v>
      </c>
      <c r="C132" s="260" t="e">
        <f t="shared" si="13"/>
        <v>#DIV/0!</v>
      </c>
      <c r="D132" s="14" t="e">
        <f t="shared" si="14"/>
        <v>#DIV/0!</v>
      </c>
      <c r="E132" s="260" t="e">
        <f t="shared" si="15"/>
        <v>#DIV/0!</v>
      </c>
      <c r="F132" s="14" t="e">
        <f t="shared" si="16"/>
        <v>#DIV/0!</v>
      </c>
      <c r="G132" s="264" t="e">
        <f t="shared" si="17"/>
        <v>#DIV/0!</v>
      </c>
      <c r="H132" s="417" t="e">
        <f t="shared" si="18"/>
        <v>#DIV/0!</v>
      </c>
      <c r="I132" s="5">
        <f>1000*B68*1000*(D88+D89)/2000</f>
        <v>0</v>
      </c>
      <c r="J132" s="5">
        <f>13.4*($B$30/1000*B88)^0.5</f>
        <v>0</v>
      </c>
      <c r="K132" s="5" t="e">
        <f>37.5*($B$30/1000)^3*I132/($B$16*($K$127-1))</f>
        <v>#DIV/0!</v>
      </c>
      <c r="L132" s="5">
        <f>2*I132*$B$30/(1000*2*103)</f>
        <v>0</v>
      </c>
      <c r="M132" s="5">
        <f>MAX(L132-2*J132*B88,0.5*L132)</f>
        <v>0</v>
      </c>
      <c r="N132" s="5" t="e">
        <f>K132*10000/(B129)</f>
        <v>#DIV/0!</v>
      </c>
      <c r="O132" s="5" t="e">
        <f>L132/B158</f>
        <v>#DIV/0!</v>
      </c>
      <c r="P132" s="5"/>
      <c r="Q132" s="14">
        <f t="shared" si="25"/>
        <v>6</v>
      </c>
      <c r="R132" s="14">
        <f t="shared" si="19"/>
        <v>0</v>
      </c>
      <c r="S132" s="263" t="e">
        <f t="shared" si="20"/>
        <v>#DIV/0!</v>
      </c>
      <c r="T132" s="263" t="e">
        <f t="shared" si="20"/>
        <v>#DIV/0!</v>
      </c>
      <c r="U132" s="263" t="e">
        <f t="shared" si="20"/>
        <v>#DIV/0!</v>
      </c>
      <c r="V132" s="14" t="e">
        <f t="shared" si="21"/>
        <v>#DIV/0!</v>
      </c>
      <c r="W132" s="264" t="e">
        <f t="shared" si="22"/>
        <v>#DIV/0!</v>
      </c>
      <c r="X132" s="417" t="e">
        <f t="shared" si="23"/>
        <v>#DIV/0!</v>
      </c>
      <c r="Y132" s="5">
        <f>1000*R68*1000*(T88+T89)/2000</f>
        <v>0</v>
      </c>
      <c r="Z132" s="5">
        <f>13.4*($B$30/1000*R88)^0.5</f>
        <v>0</v>
      </c>
      <c r="AA132" s="5" t="e">
        <f>37.5*($B$30/1000)^3*Y132/($B$16*($K$127-1))</f>
        <v>#DIV/0!</v>
      </c>
      <c r="AB132" s="5">
        <f>2*Y132*$B$30/(1000*2*103)</f>
        <v>0</v>
      </c>
      <c r="AC132" s="5">
        <f>MAX(AB132-2*Z132*R88,0.5*AB132)</f>
        <v>0</v>
      </c>
      <c r="AD132" s="5" t="e">
        <f>AA132*10000/(R129)</f>
        <v>#DIV/0!</v>
      </c>
      <c r="AE132" s="5" t="e">
        <f>AB132/R158</f>
        <v>#DIV/0!</v>
      </c>
      <c r="AF132" s="5"/>
    </row>
    <row r="133" spans="1:32" ht="15" customHeight="1" x14ac:dyDescent="0.2">
      <c r="A133" s="14">
        <f t="shared" si="24"/>
        <v>7</v>
      </c>
      <c r="B133" s="14"/>
      <c r="C133" s="260"/>
      <c r="D133" s="417"/>
      <c r="E133" s="260"/>
      <c r="F133" s="14"/>
      <c r="G133" s="264"/>
      <c r="H133" s="417"/>
      <c r="I133" s="5">
        <f>1000*B69*1000*(D89+D90)/2000</f>
        <v>0</v>
      </c>
      <c r="J133" s="5">
        <f>13.4*($B$30/1000*B89)^0.5</f>
        <v>0</v>
      </c>
      <c r="K133" s="5" t="e">
        <f>37.5*($B$30/1000)^3*I133/($B$16*($K$127-1))</f>
        <v>#DIV/0!</v>
      </c>
      <c r="L133" s="5">
        <f>2*I133*$B$30/(1000*2*103)</f>
        <v>0</v>
      </c>
      <c r="M133" s="5">
        <f>MAX(L133-2*J133*B89,0.5*L133)</f>
        <v>0</v>
      </c>
      <c r="N133" s="5" t="e">
        <f>K133*10000/(B130)</f>
        <v>#DIV/0!</v>
      </c>
      <c r="O133" s="5" t="e">
        <f>L133/B159</f>
        <v>#DIV/0!</v>
      </c>
      <c r="P133" s="5"/>
      <c r="Q133" s="14">
        <f t="shared" si="25"/>
        <v>7</v>
      </c>
      <c r="R133" s="14">
        <f t="shared" si="19"/>
        <v>0</v>
      </c>
      <c r="S133" s="263">
        <f>C133/25.4</f>
        <v>0</v>
      </c>
      <c r="T133" s="263"/>
      <c r="U133" s="263"/>
      <c r="V133" s="14"/>
      <c r="W133" s="264"/>
      <c r="X133" s="417"/>
      <c r="Y133" s="5">
        <f>1000*R69*1000*(T89+T90)/2000</f>
        <v>0</v>
      </c>
      <c r="Z133" s="5">
        <f>13.4*($B$30/1000*R89)^0.5</f>
        <v>0</v>
      </c>
      <c r="AA133" s="5" t="e">
        <f>37.5*($B$30/1000)^3*Y133/($B$16*($K$127-1))</f>
        <v>#DIV/0!</v>
      </c>
      <c r="AB133" s="5">
        <f>2*Y133*$B$30/(1000*2*103)</f>
        <v>0</v>
      </c>
      <c r="AC133" s="5">
        <f>MAX(AB133-2*Z133*R89,0.5*AB133)</f>
        <v>0</v>
      </c>
      <c r="AD133" s="5" t="e">
        <f>AA133*10000/(R130)</f>
        <v>#DIV/0!</v>
      </c>
      <c r="AE133" s="5" t="e">
        <f>AB133/R159</f>
        <v>#DIV/0!</v>
      </c>
      <c r="AF133" s="5"/>
    </row>
    <row r="134" spans="1:32" ht="15" customHeight="1" x14ac:dyDescent="0.2">
      <c r="A134" s="14">
        <f t="shared" si="24"/>
        <v>8</v>
      </c>
      <c r="B134" s="14"/>
      <c r="C134" s="260"/>
      <c r="D134" s="417"/>
      <c r="E134" s="260"/>
      <c r="F134" s="14"/>
      <c r="G134" s="264"/>
      <c r="H134" s="417"/>
      <c r="I134" s="5"/>
      <c r="J134" s="5"/>
      <c r="K134" s="5"/>
      <c r="L134" s="5"/>
      <c r="M134" s="5"/>
      <c r="N134" s="5"/>
      <c r="O134" s="5"/>
      <c r="P134" s="5"/>
      <c r="Q134" s="14">
        <f t="shared" si="25"/>
        <v>8</v>
      </c>
      <c r="R134" s="14">
        <f t="shared" si="19"/>
        <v>0</v>
      </c>
      <c r="S134" s="263">
        <f>C134/25.4</f>
        <v>0</v>
      </c>
      <c r="T134" s="263"/>
      <c r="U134" s="263"/>
      <c r="V134" s="14"/>
      <c r="W134" s="264"/>
      <c r="X134" s="417"/>
      <c r="Y134" s="5"/>
      <c r="Z134" s="5"/>
      <c r="AA134" s="5"/>
      <c r="AB134" s="5"/>
      <c r="AC134" s="5"/>
      <c r="AD134" s="5"/>
      <c r="AE134" s="5"/>
      <c r="AF134" s="5"/>
    </row>
    <row r="135" spans="1:32" ht="15" customHeight="1" x14ac:dyDescent="0.2">
      <c r="A135" s="14">
        <f t="shared" si="24"/>
        <v>9</v>
      </c>
      <c r="B135" s="14"/>
      <c r="C135" s="260"/>
      <c r="D135" s="417"/>
      <c r="E135" s="260"/>
      <c r="F135" s="14"/>
      <c r="G135" s="264"/>
      <c r="H135" s="417"/>
      <c r="I135" s="5"/>
      <c r="J135" s="5"/>
      <c r="K135" s="5"/>
      <c r="L135" s="5"/>
      <c r="M135" s="5"/>
      <c r="N135" s="5"/>
      <c r="O135" s="5"/>
      <c r="P135" s="5"/>
      <c r="Q135" s="14">
        <f t="shared" si="25"/>
        <v>9</v>
      </c>
      <c r="R135" s="14">
        <f t="shared" si="19"/>
        <v>0</v>
      </c>
      <c r="S135" s="263">
        <f>C135/25.4</f>
        <v>0</v>
      </c>
      <c r="T135" s="263"/>
      <c r="U135" s="263"/>
      <c r="V135" s="14"/>
      <c r="W135" s="264"/>
      <c r="X135" s="417"/>
      <c r="Y135" s="5"/>
      <c r="Z135" s="5"/>
      <c r="AA135" s="5"/>
      <c r="AB135" s="5"/>
      <c r="AC135" s="5"/>
      <c r="AD135" s="5"/>
      <c r="AE135" s="5"/>
      <c r="AF135" s="5"/>
    </row>
    <row r="136" spans="1:32" ht="15" customHeight="1" x14ac:dyDescent="0.2">
      <c r="A136" s="14"/>
      <c r="B136" s="14"/>
      <c r="C136" s="260"/>
      <c r="D136" s="417"/>
      <c r="E136" s="260"/>
      <c r="F136" s="14"/>
      <c r="G136" s="264"/>
      <c r="H136" s="417"/>
      <c r="I136" s="5"/>
      <c r="J136" s="5"/>
      <c r="K136" s="5"/>
      <c r="L136" s="5"/>
      <c r="M136" s="5"/>
      <c r="N136" s="5"/>
      <c r="O136" s="5"/>
      <c r="P136" s="5"/>
      <c r="Q136" s="14"/>
      <c r="R136" s="14"/>
      <c r="S136" s="263"/>
      <c r="T136" s="263"/>
      <c r="U136" s="263"/>
      <c r="V136" s="14"/>
      <c r="W136" s="14"/>
      <c r="X136" s="417"/>
      <c r="Y136" s="5"/>
      <c r="Z136" s="5"/>
      <c r="AA136" s="5"/>
      <c r="AB136" s="5"/>
      <c r="AC136" s="5"/>
      <c r="AD136" s="5"/>
      <c r="AE136" s="5"/>
      <c r="AF136" s="5"/>
    </row>
    <row r="137" spans="1:32" ht="15" customHeight="1" x14ac:dyDescent="0.2">
      <c r="A137" s="14"/>
      <c r="B137" s="14"/>
      <c r="C137" s="260"/>
      <c r="D137" s="417"/>
      <c r="E137" s="260"/>
      <c r="F137" s="14"/>
      <c r="G137" s="264"/>
      <c r="H137" s="417"/>
      <c r="I137" s="5"/>
      <c r="J137" s="5"/>
      <c r="K137" s="5"/>
      <c r="L137" s="5"/>
      <c r="M137" s="5"/>
      <c r="N137" s="5"/>
      <c r="O137" s="5"/>
      <c r="P137" s="5"/>
      <c r="Q137" s="14"/>
      <c r="R137" s="14"/>
      <c r="S137" s="260"/>
      <c r="T137" s="417"/>
      <c r="U137" s="260"/>
      <c r="V137" s="14"/>
      <c r="W137" s="14"/>
      <c r="X137" s="417"/>
      <c r="Y137" s="5"/>
      <c r="Z137" s="5"/>
      <c r="AA137" s="5"/>
      <c r="AB137" s="5"/>
      <c r="AC137" s="5"/>
      <c r="AD137" s="5"/>
      <c r="AE137" s="5"/>
      <c r="AF137" s="5"/>
    </row>
    <row r="138" spans="1:32" x14ac:dyDescent="0.2">
      <c r="A138" s="14"/>
      <c r="B138" s="14"/>
      <c r="C138" s="260"/>
      <c r="D138" s="14"/>
      <c r="E138" s="260"/>
      <c r="F138" s="14"/>
      <c r="G138" s="264"/>
      <c r="H138" s="417"/>
      <c r="I138" s="5">
        <f>1000*B70*1000*(D90+D91)/2000</f>
        <v>0</v>
      </c>
      <c r="J138" s="5">
        <f>13.4*($B$30/1000*B90)^0.5</f>
        <v>0</v>
      </c>
      <c r="K138" s="5" t="e">
        <f>37.5*($B$30/1000)^3*I138/($B$16*($K$127-1))</f>
        <v>#DIV/0!</v>
      </c>
      <c r="L138" s="5">
        <f>2*I138*$B$30/(1000*2*103)</f>
        <v>0</v>
      </c>
      <c r="M138" s="5">
        <f>MAX(L138-2*J138*B90,0.5*L138)</f>
        <v>0</v>
      </c>
      <c r="N138" s="5" t="e">
        <f>K138*10000/(B131)</f>
        <v>#DIV/0!</v>
      </c>
      <c r="O138" s="5" t="e">
        <f>L138/B160</f>
        <v>#DIV/0!</v>
      </c>
      <c r="P138" s="5"/>
      <c r="Q138" s="14"/>
      <c r="R138" s="14"/>
      <c r="S138" s="260"/>
      <c r="T138" s="14"/>
      <c r="U138" s="260"/>
      <c r="V138" s="14"/>
      <c r="W138" s="14"/>
      <c r="X138" s="417"/>
      <c r="Y138" s="5">
        <f>1000*R70*1000*(T90+T91)/2000</f>
        <v>0</v>
      </c>
      <c r="Z138" s="5">
        <f>13.4*($B$30/1000*R90)^0.5</f>
        <v>0</v>
      </c>
      <c r="AA138" s="5" t="e">
        <f>37.5*($B$30/1000)^3*Y138/($B$16*($K$127-1))</f>
        <v>#DIV/0!</v>
      </c>
      <c r="AB138" s="5">
        <f>2*Y138*$B$30/(1000*2*103)</f>
        <v>0</v>
      </c>
      <c r="AC138" s="5">
        <f>MAX(AB138-2*Z138*R90,0.5*AB138)</f>
        <v>0</v>
      </c>
      <c r="AD138" s="5" t="e">
        <f>AA138*10000/(R131)</f>
        <v>#DIV/0!</v>
      </c>
      <c r="AE138" s="5" t="e">
        <f>AB138/R160</f>
        <v>#DIV/0!</v>
      </c>
      <c r="AF138" s="5"/>
    </row>
    <row r="139" spans="1:32" x14ac:dyDescent="0.2">
      <c r="A139" s="5"/>
      <c r="B139" s="5"/>
      <c r="C139" s="263"/>
      <c r="D139" s="5"/>
      <c r="E139" s="263"/>
      <c r="F139" s="5"/>
      <c r="G139" s="5"/>
      <c r="H139" s="5"/>
      <c r="I139" s="5">
        <f>1000*B71*1000*(D91+D92)/2000</f>
        <v>0</v>
      </c>
      <c r="J139" s="5">
        <f>13.4*($B$30/1000*B91)^0.5</f>
        <v>0</v>
      </c>
      <c r="K139" s="5" t="e">
        <f>37.5*($B$30/1000)^3*I139/($B$16*($K$127-1))</f>
        <v>#DIV/0!</v>
      </c>
      <c r="L139" s="5">
        <f>2*I139*$B$30/(1000*2*103)</f>
        <v>0</v>
      </c>
      <c r="M139" s="5">
        <f>MAX(L139-2*J139*B91,0.5*L139)</f>
        <v>0</v>
      </c>
      <c r="N139" s="5" t="e">
        <f>K139*10000/(B132)</f>
        <v>#DIV/0!</v>
      </c>
      <c r="O139" s="5" t="e">
        <f>L139/B161</f>
        <v>#DIV/0!</v>
      </c>
      <c r="P139" s="5"/>
      <c r="Q139" s="5"/>
      <c r="R139" s="5"/>
      <c r="S139" s="263"/>
      <c r="T139" s="5"/>
      <c r="U139" s="263"/>
      <c r="V139" s="5"/>
      <c r="W139" s="5"/>
      <c r="X139" s="5"/>
      <c r="Y139" s="5">
        <f>1000*R71*1000*(T91+T92)/2000</f>
        <v>0</v>
      </c>
      <c r="Z139" s="5">
        <f>13.4*($B$30/1000*R91)^0.5</f>
        <v>0</v>
      </c>
      <c r="AA139" s="5" t="e">
        <f>37.5*($B$30/1000)^3*Y139/($B$16*($K$127-1))</f>
        <v>#DIV/0!</v>
      </c>
      <c r="AB139" s="5">
        <f>2*Y139*$B$30/(1000*2*103)</f>
        <v>0</v>
      </c>
      <c r="AC139" s="5">
        <f>MAX(AB139-2*Z139*R91,0.5*AB139)</f>
        <v>0</v>
      </c>
      <c r="AD139" s="5" t="e">
        <f>AA139*10000/(R132)</f>
        <v>#DIV/0!</v>
      </c>
      <c r="AE139" s="5" t="e">
        <f>AB139/R161</f>
        <v>#DIV/0!</v>
      </c>
      <c r="AF139" s="5"/>
    </row>
    <row r="140" spans="1:32" x14ac:dyDescent="0.2">
      <c r="A140" s="5" t="s">
        <v>1162</v>
      </c>
      <c r="B140" s="901" t="s">
        <v>1163</v>
      </c>
      <c r="C140" s="809"/>
      <c r="D140" s="809"/>
      <c r="E140" s="809"/>
      <c r="F140" s="809"/>
      <c r="G140" s="809"/>
      <c r="H140" s="809"/>
      <c r="I140" s="5">
        <f>1000*B72*1000*(D92+D93)/2000</f>
        <v>0</v>
      </c>
      <c r="J140" s="5">
        <f>13.4*($B$30/1000*B92)^0.5</f>
        <v>0</v>
      </c>
      <c r="K140" s="5" t="e">
        <f>37.5*($B$30/1000)^3*I140/($B$16*($K$127-1))</f>
        <v>#DIV/0!</v>
      </c>
      <c r="L140" s="5">
        <f>2*I140*$B$30/(1000*2*103)</f>
        <v>0</v>
      </c>
      <c r="M140" s="5">
        <f>MAX(L140-2*J140*B92,0.5*L140)</f>
        <v>0</v>
      </c>
      <c r="N140" s="5" t="e">
        <f>K140*10000/(B133)</f>
        <v>#DIV/0!</v>
      </c>
      <c r="O140" s="5" t="e">
        <f>L140/B162</f>
        <v>#DIV/0!</v>
      </c>
      <c r="P140" s="5"/>
      <c r="Q140" s="5" t="s">
        <v>1162</v>
      </c>
      <c r="R140" s="901" t="s">
        <v>1163</v>
      </c>
      <c r="S140" s="809"/>
      <c r="T140" s="809"/>
      <c r="U140" s="809"/>
      <c r="V140" s="809"/>
      <c r="W140" s="809"/>
      <c r="X140" s="809"/>
      <c r="Y140" s="5"/>
      <c r="Z140" s="5"/>
      <c r="AA140" s="5"/>
      <c r="AB140" s="5"/>
      <c r="AC140" s="5"/>
      <c r="AD140" s="5"/>
      <c r="AE140" s="5"/>
      <c r="AF140" s="5"/>
    </row>
    <row r="141" spans="1:32" x14ac:dyDescent="0.2">
      <c r="A141" s="5"/>
      <c r="B141" s="809"/>
      <c r="C141" s="809"/>
      <c r="D141" s="809"/>
      <c r="E141" s="809"/>
      <c r="F141" s="809"/>
      <c r="G141" s="809"/>
      <c r="H141" s="809"/>
      <c r="I141" s="5"/>
      <c r="J141" s="5"/>
      <c r="K141" s="5"/>
      <c r="L141" s="5"/>
      <c r="M141" s="5"/>
      <c r="N141" s="5"/>
      <c r="O141" s="5"/>
      <c r="P141" s="5"/>
      <c r="Q141" s="5"/>
      <c r="R141" s="809"/>
      <c r="S141" s="809"/>
      <c r="T141" s="809"/>
      <c r="U141" s="809"/>
      <c r="V141" s="809"/>
      <c r="W141" s="809"/>
      <c r="X141" s="809"/>
      <c r="Y141" s="5"/>
      <c r="Z141" s="5"/>
      <c r="AA141" s="5"/>
      <c r="AB141" s="5"/>
      <c r="AC141" s="5"/>
      <c r="AD141" s="5"/>
      <c r="AE141" s="5"/>
      <c r="AF141" s="5"/>
    </row>
    <row r="142" spans="1:32" x14ac:dyDescent="0.2">
      <c r="A142" s="5" t="s">
        <v>1149</v>
      </c>
      <c r="B142" s="64" t="s">
        <v>1164</v>
      </c>
      <c r="C142" s="263"/>
      <c r="D142" s="5"/>
      <c r="E142" s="263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 t="s">
        <v>1149</v>
      </c>
      <c r="R142" s="64" t="s">
        <v>1164</v>
      </c>
      <c r="S142" s="263"/>
      <c r="T142" s="5"/>
      <c r="U142" s="263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 x14ac:dyDescent="0.2">
      <c r="A143" s="5" t="s">
        <v>1150</v>
      </c>
      <c r="B143" s="901" t="s">
        <v>1165</v>
      </c>
      <c r="C143" s="809"/>
      <c r="D143" s="809"/>
      <c r="E143" s="809"/>
      <c r="F143" s="809"/>
      <c r="G143" s="809"/>
      <c r="H143" s="809"/>
      <c r="I143" s="5"/>
      <c r="J143" s="5"/>
      <c r="K143" s="5" t="e">
        <f>F127/K130/10000</f>
        <v>#DIV/0!</v>
      </c>
      <c r="L143" s="5"/>
      <c r="M143" s="5">
        <f>D156/M130</f>
        <v>1.9229978119570275</v>
      </c>
      <c r="N143" s="5"/>
      <c r="O143" s="5"/>
      <c r="P143" s="5"/>
      <c r="Q143" s="5" t="s">
        <v>1150</v>
      </c>
      <c r="R143" s="901" t="s">
        <v>1165</v>
      </c>
      <c r="S143" s="809"/>
      <c r="T143" s="809"/>
      <c r="U143" s="809"/>
      <c r="V143" s="809"/>
      <c r="W143" s="809"/>
      <c r="X143" s="809"/>
      <c r="Y143" s="5"/>
      <c r="Z143" s="5"/>
      <c r="AA143" s="5" t="e">
        <f>V127/AA130/10000</f>
        <v>#DIV/0!</v>
      </c>
      <c r="AB143" s="5"/>
      <c r="AC143" s="5">
        <f>T156/AC130</f>
        <v>2.6178674135009402E-4</v>
      </c>
      <c r="AD143" s="5"/>
      <c r="AE143" s="5"/>
      <c r="AF143" s="5"/>
    </row>
    <row r="144" spans="1:32" x14ac:dyDescent="0.2">
      <c r="A144" s="5"/>
      <c r="B144" s="809"/>
      <c r="C144" s="809"/>
      <c r="D144" s="809"/>
      <c r="E144" s="809"/>
      <c r="F144" s="809"/>
      <c r="G144" s="809"/>
      <c r="H144" s="809"/>
      <c r="I144" s="5"/>
      <c r="J144" s="5"/>
      <c r="K144" s="5" t="e">
        <f>F128/K131/10000</f>
        <v>#DIV/0!</v>
      </c>
      <c r="L144" s="5"/>
      <c r="M144" s="5">
        <f>D157/M131</f>
        <v>1.8234929627334691</v>
      </c>
      <c r="N144" s="5"/>
      <c r="O144" s="5"/>
      <c r="P144" s="5"/>
      <c r="Q144" s="5"/>
      <c r="R144" s="809"/>
      <c r="S144" s="809"/>
      <c r="T144" s="809"/>
      <c r="U144" s="809"/>
      <c r="V144" s="809"/>
      <c r="W144" s="809"/>
      <c r="X144" s="809"/>
      <c r="Y144" s="5"/>
      <c r="Z144" s="5"/>
      <c r="AA144" s="5" t="e">
        <f>V128/AA131/10000</f>
        <v>#DIV/0!</v>
      </c>
      <c r="AB144" s="5"/>
      <c r="AC144" s="5">
        <f>T157/AC131</f>
        <v>2.4820157241554935E-4</v>
      </c>
      <c r="AD144" s="5"/>
      <c r="AE144" s="5"/>
      <c r="AF144" s="5"/>
    </row>
    <row r="145" spans="1:32" x14ac:dyDescent="0.2">
      <c r="A145" s="5" t="s">
        <v>1151</v>
      </c>
      <c r="B145" s="900" t="s">
        <v>1166</v>
      </c>
      <c r="C145" s="809"/>
      <c r="D145" s="809"/>
      <c r="E145" s="809"/>
      <c r="F145" s="809"/>
      <c r="G145" s="809"/>
      <c r="H145" s="809"/>
      <c r="I145" s="5"/>
      <c r="J145" s="5"/>
      <c r="K145" s="5" t="e">
        <f>F129/K132/10000</f>
        <v>#DIV/0!</v>
      </c>
      <c r="L145" s="5"/>
      <c r="M145" s="5" t="e">
        <f>D158/M132</f>
        <v>#DIV/0!</v>
      </c>
      <c r="N145" s="5"/>
      <c r="O145" s="5"/>
      <c r="P145" s="5"/>
      <c r="Q145" s="5" t="s">
        <v>1151</v>
      </c>
      <c r="R145" s="900" t="s">
        <v>1166</v>
      </c>
      <c r="S145" s="809"/>
      <c r="T145" s="809"/>
      <c r="U145" s="809"/>
      <c r="V145" s="809"/>
      <c r="W145" s="809"/>
      <c r="X145" s="809"/>
      <c r="Y145" s="5"/>
      <c r="Z145" s="5"/>
      <c r="AA145" s="5" t="e">
        <f>V129/AA132/10000</f>
        <v>#DIV/0!</v>
      </c>
      <c r="AB145" s="5"/>
      <c r="AC145" s="5" t="e">
        <f>T158/AC132</f>
        <v>#DIV/0!</v>
      </c>
      <c r="AD145" s="5"/>
      <c r="AE145" s="5"/>
      <c r="AF145" s="5"/>
    </row>
    <row r="146" spans="1:32" x14ac:dyDescent="0.2">
      <c r="A146" s="5"/>
      <c r="B146" s="809"/>
      <c r="C146" s="809"/>
      <c r="D146" s="809"/>
      <c r="E146" s="809"/>
      <c r="F146" s="809"/>
      <c r="G146" s="809"/>
      <c r="H146" s="809"/>
      <c r="I146" s="5"/>
      <c r="J146" s="5"/>
      <c r="K146" s="5" t="e">
        <f>F130/K133/10000</f>
        <v>#DIV/0!</v>
      </c>
      <c r="L146" s="5"/>
      <c r="M146" s="5" t="e">
        <f>D159/M133</f>
        <v>#DIV/0!</v>
      </c>
      <c r="N146" s="5"/>
      <c r="O146" s="5"/>
      <c r="P146" s="5"/>
      <c r="Q146" s="5"/>
      <c r="R146" s="809"/>
      <c r="S146" s="809"/>
      <c r="T146" s="809"/>
      <c r="U146" s="809"/>
      <c r="V146" s="809"/>
      <c r="W146" s="809"/>
      <c r="X146" s="809"/>
      <c r="Y146" s="5"/>
      <c r="Z146" s="5"/>
      <c r="AA146" s="5" t="e">
        <f>V130/AA133/10000</f>
        <v>#DIV/0!</v>
      </c>
      <c r="AB146" s="5"/>
      <c r="AC146" s="5" t="e">
        <f>T159/AC133</f>
        <v>#DIV/0!</v>
      </c>
      <c r="AD146" s="5"/>
      <c r="AE146" s="5"/>
      <c r="AF146" s="5"/>
    </row>
    <row r="147" spans="1:32" x14ac:dyDescent="0.2">
      <c r="A147" s="5"/>
      <c r="B147" s="809"/>
      <c r="C147" s="809"/>
      <c r="D147" s="809"/>
      <c r="E147" s="809"/>
      <c r="F147" s="809"/>
      <c r="G147" s="809"/>
      <c r="H147" s="809"/>
      <c r="I147" s="5"/>
      <c r="J147" s="5"/>
      <c r="K147" s="5" t="e">
        <f>F131/K138/10000</f>
        <v>#DIV/0!</v>
      </c>
      <c r="L147" s="5"/>
      <c r="M147" s="5" t="e">
        <f>D160/M138</f>
        <v>#DIV/0!</v>
      </c>
      <c r="N147" s="5"/>
      <c r="O147" s="5"/>
      <c r="P147" s="5"/>
      <c r="Q147" s="5"/>
      <c r="R147" s="809"/>
      <c r="S147" s="809"/>
      <c r="T147" s="809"/>
      <c r="U147" s="809"/>
      <c r="V147" s="809"/>
      <c r="W147" s="809"/>
      <c r="X147" s="809"/>
      <c r="Y147" s="5"/>
      <c r="Z147" s="5"/>
      <c r="AA147" s="5" t="e">
        <f>V131/AA138/10000</f>
        <v>#DIV/0!</v>
      </c>
      <c r="AB147" s="5"/>
      <c r="AC147" s="5" t="e">
        <f>T160/AC138</f>
        <v>#DIV/0!</v>
      </c>
      <c r="AD147" s="5"/>
      <c r="AE147" s="5"/>
      <c r="AF147" s="5"/>
    </row>
    <row r="148" spans="1:32" x14ac:dyDescent="0.2">
      <c r="A148" s="5" t="s">
        <v>1152</v>
      </c>
      <c r="B148" s="64" t="s">
        <v>1167</v>
      </c>
      <c r="C148" s="5"/>
      <c r="D148" s="5"/>
      <c r="E148" s="5"/>
      <c r="F148" s="5"/>
      <c r="G148" s="5"/>
      <c r="H148" s="218"/>
      <c r="I148" s="5"/>
      <c r="J148" s="5"/>
      <c r="K148" s="5" t="e">
        <f>F132/K139/10000</f>
        <v>#DIV/0!</v>
      </c>
      <c r="L148" s="5"/>
      <c r="M148" s="5" t="e">
        <f>D161/M139</f>
        <v>#DIV/0!</v>
      </c>
      <c r="N148" s="5"/>
      <c r="O148" s="5"/>
      <c r="P148" s="5"/>
      <c r="Q148" s="5" t="s">
        <v>1152</v>
      </c>
      <c r="R148" s="64" t="s">
        <v>1167</v>
      </c>
      <c r="S148" s="5"/>
      <c r="T148" s="5"/>
      <c r="U148" s="5"/>
      <c r="V148" s="5"/>
      <c r="W148" s="5"/>
      <c r="X148" s="218"/>
      <c r="Y148" s="5"/>
      <c r="Z148" s="5"/>
      <c r="AA148" s="5" t="e">
        <f>V132/AA139/10000</f>
        <v>#DIV/0!</v>
      </c>
      <c r="AB148" s="5"/>
      <c r="AC148" s="5" t="e">
        <f>T161/AC139</f>
        <v>#DIV/0!</v>
      </c>
      <c r="AD148" s="5"/>
      <c r="AE148" s="5"/>
      <c r="AF148" s="5"/>
    </row>
    <row r="149" spans="1:32" x14ac:dyDescent="0.2">
      <c r="A149" s="5" t="s">
        <v>1153</v>
      </c>
      <c r="B149" s="64" t="s">
        <v>1168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 t="s">
        <v>1153</v>
      </c>
      <c r="R149" s="64" t="s">
        <v>1168</v>
      </c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 ht="23.2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 ht="1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 ht="14.25" customHeight="1" x14ac:dyDescent="0.2">
      <c r="A152" s="121" t="s">
        <v>1169</v>
      </c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21" t="s">
        <v>1169</v>
      </c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 x14ac:dyDescent="0.2">
      <c r="A153" s="5"/>
      <c r="B153" s="14"/>
      <c r="C153" s="14"/>
      <c r="D153" s="14"/>
      <c r="E153" s="14"/>
      <c r="F153" s="1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14"/>
      <c r="S153" s="14"/>
      <c r="T153" s="14"/>
      <c r="U153" s="14"/>
      <c r="V153" s="14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 x14ac:dyDescent="0.2">
      <c r="A154" s="14"/>
      <c r="B154" s="14" t="s">
        <v>1170</v>
      </c>
      <c r="C154" s="14" t="s">
        <v>1171</v>
      </c>
      <c r="D154" s="14" t="s">
        <v>1172</v>
      </c>
      <c r="E154" s="218" t="s">
        <v>1173</v>
      </c>
      <c r="F154" s="1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4"/>
      <c r="R154" s="14" t="s">
        <v>1170</v>
      </c>
      <c r="S154" s="14" t="s">
        <v>1171</v>
      </c>
      <c r="T154" s="14" t="s">
        <v>1172</v>
      </c>
      <c r="U154" s="218" t="s">
        <v>1173</v>
      </c>
      <c r="V154" s="14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 x14ac:dyDescent="0.2">
      <c r="A155" s="14"/>
      <c r="B155" s="14" t="s">
        <v>334</v>
      </c>
      <c r="C155" s="14" t="s">
        <v>334</v>
      </c>
      <c r="D155" s="14" t="s">
        <v>334</v>
      </c>
      <c r="E155" s="218" t="s">
        <v>334</v>
      </c>
      <c r="F155" s="1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14"/>
      <c r="R155" s="170" t="s">
        <v>1174</v>
      </c>
      <c r="S155" s="170" t="s">
        <v>1174</v>
      </c>
      <c r="T155" s="170" t="s">
        <v>1174</v>
      </c>
      <c r="U155" s="111" t="s">
        <v>1174</v>
      </c>
      <c r="V155" s="14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1:32" ht="12.75" customHeight="1" x14ac:dyDescent="0.2">
      <c r="A156" s="14">
        <v>1</v>
      </c>
      <c r="B156" s="417">
        <f t="shared" ref="B156:B161" si="26">B66*D86*$B$15/(2*$B$18)</f>
        <v>496.43728576474831</v>
      </c>
      <c r="C156" s="417">
        <f t="shared" ref="C156:C161" si="27">0.78*($B$15/2*B86)^0.5*B86</f>
        <v>1791.9124550044291</v>
      </c>
      <c r="D156" s="14">
        <f t="shared" ref="D156:D161" si="28">$K$30*$K$31+$B$31*$B$32</f>
        <v>1200</v>
      </c>
      <c r="E156" s="260">
        <f t="shared" ref="E156:E161" si="29">IF(C156&lt;D156,C156+D156,D156*2)</f>
        <v>2400</v>
      </c>
      <c r="F156" s="264" t="str">
        <f t="shared" ref="F156:F161" si="30">IF(E156&gt;B156,"OK","ERROR")</f>
        <v>OK</v>
      </c>
      <c r="G156" s="265">
        <f t="shared" ref="G156:G161" si="31">E156/B156</f>
        <v>4.8344475099263837</v>
      </c>
      <c r="H156" s="5"/>
      <c r="I156" s="5"/>
      <c r="J156" s="5"/>
      <c r="K156" s="5"/>
      <c r="L156" s="5"/>
      <c r="M156" s="5"/>
      <c r="N156" s="5"/>
      <c r="O156" s="5"/>
      <c r="P156" s="5"/>
      <c r="Q156" s="14">
        <v>1</v>
      </c>
      <c r="R156" s="417">
        <f t="shared" ref="R156:U161" si="32">B156/(25.4*25.4)</f>
        <v>0.76947933189402373</v>
      </c>
      <c r="S156" s="417">
        <f t="shared" si="32"/>
        <v>2.7774698601965859</v>
      </c>
      <c r="T156" s="417">
        <f t="shared" si="32"/>
        <v>1.8600037200074402</v>
      </c>
      <c r="U156" s="417">
        <f t="shared" si="32"/>
        <v>3.7200074400148804</v>
      </c>
      <c r="V156" s="264" t="str">
        <f t="shared" ref="V156:V161" si="33">IF(U156&gt;R156,"OK","ERROR")</f>
        <v>OK</v>
      </c>
      <c r="W156" s="265">
        <f t="shared" ref="W156:W161" si="34">U156/R156</f>
        <v>4.8344475099263837</v>
      </c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 ht="12.75" customHeight="1" x14ac:dyDescent="0.2">
      <c r="A157" s="14">
        <f t="shared" ref="A157:A165" si="35">A156+1</f>
        <v>2</v>
      </c>
      <c r="B157" s="417">
        <f t="shared" si="26"/>
        <v>863.81956266666668</v>
      </c>
      <c r="C157" s="417">
        <f t="shared" si="27"/>
        <v>1791.9124550044291</v>
      </c>
      <c r="D157" s="14">
        <f t="shared" si="28"/>
        <v>1200</v>
      </c>
      <c r="E157" s="260">
        <f t="shared" si="29"/>
        <v>2400</v>
      </c>
      <c r="F157" s="264" t="str">
        <f t="shared" si="30"/>
        <v>OK</v>
      </c>
      <c r="G157" s="265">
        <f t="shared" si="31"/>
        <v>2.7783580086922846</v>
      </c>
      <c r="H157" s="5"/>
      <c r="I157" s="5"/>
      <c r="J157" s="5"/>
      <c r="K157" s="5"/>
      <c r="L157" s="5"/>
      <c r="M157" s="5"/>
      <c r="N157" s="5"/>
      <c r="O157" s="5"/>
      <c r="P157" s="5"/>
      <c r="Q157" s="14">
        <f t="shared" ref="Q157:Q165" si="36">Q156+1</f>
        <v>2</v>
      </c>
      <c r="R157" s="417">
        <f t="shared" si="32"/>
        <v>1.3389229999793333</v>
      </c>
      <c r="S157" s="417">
        <f t="shared" si="32"/>
        <v>2.7774698601965859</v>
      </c>
      <c r="T157" s="417">
        <f t="shared" si="32"/>
        <v>1.8600037200074402</v>
      </c>
      <c r="U157" s="417">
        <f t="shared" si="32"/>
        <v>3.7200074400148804</v>
      </c>
      <c r="V157" s="264" t="str">
        <f t="shared" si="33"/>
        <v>OK</v>
      </c>
      <c r="W157" s="265">
        <f t="shared" si="34"/>
        <v>2.7783580086922846</v>
      </c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 x14ac:dyDescent="0.2">
      <c r="A158" s="14">
        <f t="shared" si="35"/>
        <v>3</v>
      </c>
      <c r="B158" s="417">
        <f t="shared" si="26"/>
        <v>0</v>
      </c>
      <c r="C158" s="417">
        <f t="shared" si="27"/>
        <v>0</v>
      </c>
      <c r="D158" s="14">
        <f t="shared" si="28"/>
        <v>1200</v>
      </c>
      <c r="E158" s="260">
        <f t="shared" si="29"/>
        <v>1200</v>
      </c>
      <c r="F158" s="264" t="str">
        <f t="shared" si="30"/>
        <v>OK</v>
      </c>
      <c r="G158" s="265" t="e">
        <f t="shared" si="31"/>
        <v>#DIV/0!</v>
      </c>
      <c r="H158" s="5"/>
      <c r="I158" s="5"/>
      <c r="J158" s="5"/>
      <c r="K158" s="5"/>
      <c r="L158" s="5"/>
      <c r="M158" s="5"/>
      <c r="N158" s="5"/>
      <c r="O158" s="5"/>
      <c r="P158" s="5"/>
      <c r="Q158" s="14">
        <f t="shared" si="36"/>
        <v>3</v>
      </c>
      <c r="R158" s="417">
        <f t="shared" si="32"/>
        <v>0</v>
      </c>
      <c r="S158" s="417">
        <f t="shared" si="32"/>
        <v>0</v>
      </c>
      <c r="T158" s="417">
        <f t="shared" si="32"/>
        <v>1.8600037200074402</v>
      </c>
      <c r="U158" s="417">
        <f t="shared" si="32"/>
        <v>1.8600037200074402</v>
      </c>
      <c r="V158" s="264" t="str">
        <f t="shared" si="33"/>
        <v>OK</v>
      </c>
      <c r="W158" s="265" t="e">
        <f t="shared" si="34"/>
        <v>#DIV/0!</v>
      </c>
      <c r="X158" s="5"/>
      <c r="Y158" s="5"/>
      <c r="Z158" s="5"/>
      <c r="AA158" s="5"/>
      <c r="AB158" s="5"/>
      <c r="AC158" s="5"/>
      <c r="AD158" s="5"/>
      <c r="AE158" s="5"/>
      <c r="AF158" s="5"/>
    </row>
    <row r="159" spans="1:32" x14ac:dyDescent="0.2">
      <c r="A159" s="14">
        <f t="shared" si="35"/>
        <v>4</v>
      </c>
      <c r="B159" s="417">
        <f t="shared" si="26"/>
        <v>0</v>
      </c>
      <c r="C159" s="417">
        <f t="shared" si="27"/>
        <v>0</v>
      </c>
      <c r="D159" s="14">
        <f t="shared" si="28"/>
        <v>1200</v>
      </c>
      <c r="E159" s="260">
        <f t="shared" si="29"/>
        <v>1200</v>
      </c>
      <c r="F159" s="264" t="str">
        <f t="shared" si="30"/>
        <v>OK</v>
      </c>
      <c r="G159" s="265" t="e">
        <f t="shared" si="31"/>
        <v>#DIV/0!</v>
      </c>
      <c r="H159" s="5"/>
      <c r="I159" s="5"/>
      <c r="J159" s="5"/>
      <c r="K159" s="5"/>
      <c r="L159" s="5"/>
      <c r="M159" s="5"/>
      <c r="N159" s="5"/>
      <c r="O159" s="5"/>
      <c r="P159" s="5"/>
      <c r="Q159" s="14">
        <f t="shared" si="36"/>
        <v>4</v>
      </c>
      <c r="R159" s="417">
        <f t="shared" si="32"/>
        <v>0</v>
      </c>
      <c r="S159" s="417">
        <f t="shared" si="32"/>
        <v>0</v>
      </c>
      <c r="T159" s="417">
        <f t="shared" si="32"/>
        <v>1.8600037200074402</v>
      </c>
      <c r="U159" s="417">
        <f t="shared" si="32"/>
        <v>1.8600037200074402</v>
      </c>
      <c r="V159" s="264" t="str">
        <f t="shared" si="33"/>
        <v>OK</v>
      </c>
      <c r="W159" s="265" t="e">
        <f t="shared" si="34"/>
        <v>#DIV/0!</v>
      </c>
      <c r="X159" s="5"/>
      <c r="Y159" s="5"/>
      <c r="Z159" s="5"/>
      <c r="AA159" s="5"/>
      <c r="AB159" s="5"/>
      <c r="AC159" s="5"/>
      <c r="AD159" s="5"/>
      <c r="AE159" s="5"/>
      <c r="AF159" s="5"/>
    </row>
    <row r="160" spans="1:32" x14ac:dyDescent="0.2">
      <c r="A160" s="14">
        <f t="shared" si="35"/>
        <v>5</v>
      </c>
      <c r="B160" s="417">
        <f t="shared" si="26"/>
        <v>0</v>
      </c>
      <c r="C160" s="417">
        <f t="shared" si="27"/>
        <v>0</v>
      </c>
      <c r="D160" s="14">
        <f t="shared" si="28"/>
        <v>1200</v>
      </c>
      <c r="E160" s="260">
        <f t="shared" si="29"/>
        <v>1200</v>
      </c>
      <c r="F160" s="264" t="str">
        <f t="shared" si="30"/>
        <v>OK</v>
      </c>
      <c r="G160" s="265" t="e">
        <f t="shared" si="31"/>
        <v>#DIV/0!</v>
      </c>
      <c r="H160" s="5"/>
      <c r="I160" s="5"/>
      <c r="J160" s="5"/>
      <c r="K160" s="5"/>
      <c r="L160" s="5"/>
      <c r="M160" s="5"/>
      <c r="N160" s="5"/>
      <c r="O160" s="5"/>
      <c r="P160" s="5"/>
      <c r="Q160" s="14">
        <f t="shared" si="36"/>
        <v>5</v>
      </c>
      <c r="R160" s="417">
        <f t="shared" si="32"/>
        <v>0</v>
      </c>
      <c r="S160" s="417">
        <f t="shared" si="32"/>
        <v>0</v>
      </c>
      <c r="T160" s="417">
        <f t="shared" si="32"/>
        <v>1.8600037200074402</v>
      </c>
      <c r="U160" s="417">
        <f t="shared" si="32"/>
        <v>1.8600037200074402</v>
      </c>
      <c r="V160" s="264" t="str">
        <f t="shared" si="33"/>
        <v>OK</v>
      </c>
      <c r="W160" s="265" t="e">
        <f t="shared" si="34"/>
        <v>#DIV/0!</v>
      </c>
      <c r="X160" s="5"/>
      <c r="Y160" s="5"/>
      <c r="Z160" s="5"/>
      <c r="AA160" s="5"/>
      <c r="AB160" s="5"/>
      <c r="AC160" s="5"/>
      <c r="AD160" s="5"/>
      <c r="AE160" s="5"/>
      <c r="AF160" s="5"/>
    </row>
    <row r="161" spans="1:32" x14ac:dyDescent="0.2">
      <c r="A161" s="14">
        <f t="shared" si="35"/>
        <v>6</v>
      </c>
      <c r="B161" s="417">
        <f t="shared" si="26"/>
        <v>0</v>
      </c>
      <c r="C161" s="417">
        <f t="shared" si="27"/>
        <v>0</v>
      </c>
      <c r="D161" s="14">
        <f t="shared" si="28"/>
        <v>1200</v>
      </c>
      <c r="E161" s="260">
        <f t="shared" si="29"/>
        <v>1200</v>
      </c>
      <c r="F161" s="264" t="str">
        <f t="shared" si="30"/>
        <v>OK</v>
      </c>
      <c r="G161" s="265" t="e">
        <f t="shared" si="31"/>
        <v>#DIV/0!</v>
      </c>
      <c r="H161" s="5"/>
      <c r="I161" s="5"/>
      <c r="J161" s="5"/>
      <c r="K161" s="5"/>
      <c r="L161" s="5"/>
      <c r="M161" s="5"/>
      <c r="N161" s="5"/>
      <c r="O161" s="5"/>
      <c r="P161" s="5"/>
      <c r="Q161" s="14">
        <f t="shared" si="36"/>
        <v>6</v>
      </c>
      <c r="R161" s="417">
        <f t="shared" si="32"/>
        <v>0</v>
      </c>
      <c r="S161" s="417">
        <f t="shared" si="32"/>
        <v>0</v>
      </c>
      <c r="T161" s="417">
        <f t="shared" si="32"/>
        <v>1.8600037200074402</v>
      </c>
      <c r="U161" s="417">
        <f t="shared" si="32"/>
        <v>1.8600037200074402</v>
      </c>
      <c r="V161" s="264" t="str">
        <f t="shared" si="33"/>
        <v>OK</v>
      </c>
      <c r="W161" s="265" t="e">
        <f t="shared" si="34"/>
        <v>#DIV/0!</v>
      </c>
      <c r="X161" s="5"/>
      <c r="Y161" s="5"/>
      <c r="Z161" s="5"/>
      <c r="AA161" s="5"/>
      <c r="AB161" s="5"/>
      <c r="AC161" s="5"/>
      <c r="AD161" s="5"/>
      <c r="AE161" s="5"/>
      <c r="AF161" s="5"/>
    </row>
    <row r="162" spans="1:32" x14ac:dyDescent="0.2">
      <c r="A162" s="14">
        <f t="shared" si="35"/>
        <v>7</v>
      </c>
      <c r="B162" s="417"/>
      <c r="C162" s="417"/>
      <c r="D162" s="14"/>
      <c r="E162" s="260"/>
      <c r="F162" s="264"/>
      <c r="G162" s="265"/>
      <c r="H162" s="5"/>
      <c r="I162" s="5"/>
      <c r="J162" s="5"/>
      <c r="K162" s="5"/>
      <c r="L162" s="5"/>
      <c r="M162" s="5"/>
      <c r="N162" s="5"/>
      <c r="O162" s="5"/>
      <c r="P162" s="5"/>
      <c r="Q162" s="14">
        <f t="shared" si="36"/>
        <v>7</v>
      </c>
      <c r="R162" s="417"/>
      <c r="S162" s="417"/>
      <c r="T162" s="417"/>
      <c r="U162" s="417"/>
      <c r="V162" s="264"/>
      <c r="W162" s="265"/>
      <c r="X162" s="5"/>
      <c r="Y162" s="5"/>
      <c r="Z162" s="5"/>
      <c r="AA162" s="5"/>
      <c r="AB162" s="5"/>
      <c r="AC162" s="5"/>
      <c r="AD162" s="5"/>
      <c r="AE162" s="5"/>
      <c r="AF162" s="5"/>
    </row>
    <row r="163" spans="1:32" x14ac:dyDescent="0.2">
      <c r="A163" s="14">
        <f t="shared" si="35"/>
        <v>8</v>
      </c>
      <c r="B163" s="417"/>
      <c r="C163" s="417"/>
      <c r="D163" s="14"/>
      <c r="E163" s="260"/>
      <c r="F163" s="264"/>
      <c r="G163" s="265"/>
      <c r="H163" s="5"/>
      <c r="I163" s="5"/>
      <c r="J163" s="5"/>
      <c r="K163" s="5"/>
      <c r="L163" s="5"/>
      <c r="M163" s="5"/>
      <c r="N163" s="5"/>
      <c r="O163" s="5"/>
      <c r="P163" s="5"/>
      <c r="Q163" s="14">
        <f t="shared" si="36"/>
        <v>8</v>
      </c>
      <c r="R163" s="417"/>
      <c r="S163" s="417"/>
      <c r="T163" s="417"/>
      <c r="U163" s="417"/>
      <c r="V163" s="264"/>
      <c r="W163" s="26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1:32" x14ac:dyDescent="0.2">
      <c r="A164" s="14">
        <f t="shared" si="35"/>
        <v>9</v>
      </c>
      <c r="B164" s="417"/>
      <c r="C164" s="417"/>
      <c r="D164" s="14"/>
      <c r="E164" s="260"/>
      <c r="F164" s="264"/>
      <c r="G164" s="265"/>
      <c r="H164" s="5"/>
      <c r="I164" s="5"/>
      <c r="J164" s="5"/>
      <c r="K164" s="5"/>
      <c r="L164" s="5"/>
      <c r="M164" s="5"/>
      <c r="N164" s="5"/>
      <c r="O164" s="5"/>
      <c r="P164" s="5"/>
      <c r="Q164" s="14">
        <f t="shared" si="36"/>
        <v>9</v>
      </c>
      <c r="R164" s="417"/>
      <c r="S164" s="417"/>
      <c r="T164" s="417"/>
      <c r="U164" s="417"/>
      <c r="V164" s="264"/>
      <c r="W164" s="265"/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 x14ac:dyDescent="0.2">
      <c r="A165" s="14">
        <f t="shared" si="35"/>
        <v>10</v>
      </c>
      <c r="B165" s="417"/>
      <c r="C165" s="417"/>
      <c r="D165" s="14"/>
      <c r="E165" s="260"/>
      <c r="F165" s="264"/>
      <c r="G165" s="265"/>
      <c r="H165" s="5"/>
      <c r="I165" s="5"/>
      <c r="J165" s="5"/>
      <c r="K165" s="5"/>
      <c r="L165" s="5"/>
      <c r="M165" s="5"/>
      <c r="N165" s="5"/>
      <c r="O165" s="5"/>
      <c r="P165" s="5"/>
      <c r="Q165" s="14">
        <f t="shared" si="36"/>
        <v>10</v>
      </c>
      <c r="R165" s="417"/>
      <c r="S165" s="417"/>
      <c r="T165" s="417"/>
      <c r="U165" s="417"/>
      <c r="V165" s="264"/>
      <c r="W165" s="265"/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 x14ac:dyDescent="0.2">
      <c r="A166" s="14"/>
      <c r="B166" s="417"/>
      <c r="C166" s="417"/>
      <c r="D166" s="14"/>
      <c r="E166" s="260"/>
      <c r="F166" s="264"/>
      <c r="G166" s="265"/>
      <c r="H166" s="5"/>
      <c r="I166" s="5"/>
      <c r="J166" s="5"/>
      <c r="K166" s="5"/>
      <c r="L166" s="5"/>
      <c r="M166" s="5"/>
      <c r="N166" s="5"/>
      <c r="O166" s="5"/>
      <c r="P166" s="5"/>
      <c r="Q166" s="14"/>
      <c r="R166" s="417"/>
      <c r="S166" s="417"/>
      <c r="T166" s="14"/>
      <c r="U166" s="260"/>
      <c r="V166" s="264"/>
      <c r="W166" s="26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 x14ac:dyDescent="0.2">
      <c r="A167" s="14"/>
      <c r="B167" s="417"/>
      <c r="C167" s="417"/>
      <c r="D167" s="14"/>
      <c r="E167" s="260"/>
      <c r="F167" s="14"/>
      <c r="G167" s="265"/>
      <c r="H167" s="5"/>
      <c r="I167" s="5"/>
      <c r="J167" s="5"/>
      <c r="K167" s="5"/>
      <c r="L167" s="5"/>
      <c r="M167" s="5"/>
      <c r="N167" s="5"/>
      <c r="O167" s="5"/>
      <c r="P167" s="5"/>
      <c r="Q167" s="14"/>
      <c r="R167" s="417"/>
      <c r="S167" s="417"/>
      <c r="T167" s="14"/>
      <c r="U167" s="260"/>
      <c r="V167" s="14"/>
      <c r="W167" s="26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 x14ac:dyDescent="0.2">
      <c r="A169" s="5" t="s">
        <v>1175</v>
      </c>
      <c r="B169" s="64" t="s">
        <v>1176</v>
      </c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 t="s">
        <v>1175</v>
      </c>
      <c r="R169" s="64" t="s">
        <v>1176</v>
      </c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 x14ac:dyDescent="0.2">
      <c r="A170" s="5" t="s">
        <v>1171</v>
      </c>
      <c r="B170" s="64" t="s">
        <v>1177</v>
      </c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 t="s">
        <v>1171</v>
      </c>
      <c r="R170" s="64" t="s">
        <v>1177</v>
      </c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 x14ac:dyDescent="0.2">
      <c r="A171" s="5" t="s">
        <v>1172</v>
      </c>
      <c r="B171" s="64" t="s">
        <v>1178</v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 t="s">
        <v>1172</v>
      </c>
      <c r="R171" s="64" t="s">
        <v>1178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1:32" x14ac:dyDescent="0.2">
      <c r="A172" s="5" t="s">
        <v>1173</v>
      </c>
      <c r="B172" s="64" t="s">
        <v>1179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 t="s">
        <v>1173</v>
      </c>
      <c r="R172" s="64" t="s">
        <v>1179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</sheetData>
  <mergeCells count="88">
    <mergeCell ref="B145:H147"/>
    <mergeCell ref="B140:H141"/>
    <mergeCell ref="B143:H144"/>
    <mergeCell ref="D24:H25"/>
    <mergeCell ref="D43:H44"/>
    <mergeCell ref="G61:H61"/>
    <mergeCell ref="A120:C120"/>
    <mergeCell ref="G120:H120"/>
    <mergeCell ref="E120:F120"/>
    <mergeCell ref="E121:F121"/>
    <mergeCell ref="D118:H118"/>
    <mergeCell ref="D119:H119"/>
    <mergeCell ref="A62:C62"/>
    <mergeCell ref="B105:G105"/>
    <mergeCell ref="L1:P1"/>
    <mergeCell ref="L2:P2"/>
    <mergeCell ref="I4:K4"/>
    <mergeCell ref="O4:P4"/>
    <mergeCell ref="L3:P3"/>
    <mergeCell ref="M4:N4"/>
    <mergeCell ref="I1:K3"/>
    <mergeCell ref="G4:H4"/>
    <mergeCell ref="D3:H3"/>
    <mergeCell ref="D1:H1"/>
    <mergeCell ref="A35:H36"/>
    <mergeCell ref="D2:H2"/>
    <mergeCell ref="A1:C3"/>
    <mergeCell ref="E4:F4"/>
    <mergeCell ref="E5:F5"/>
    <mergeCell ref="A5:C5"/>
    <mergeCell ref="A4:C4"/>
    <mergeCell ref="M5:N5"/>
    <mergeCell ref="D60:H60"/>
    <mergeCell ref="D117:H117"/>
    <mergeCell ref="A121:C121"/>
    <mergeCell ref="D59:H59"/>
    <mergeCell ref="A61:C61"/>
    <mergeCell ref="A58:C60"/>
    <mergeCell ref="E61:F61"/>
    <mergeCell ref="E62:F62"/>
    <mergeCell ref="A117:C119"/>
    <mergeCell ref="I5:K5"/>
    <mergeCell ref="D58:H58"/>
    <mergeCell ref="A7:H10"/>
    <mergeCell ref="Q1:S3"/>
    <mergeCell ref="T1:X1"/>
    <mergeCell ref="Y1:AA3"/>
    <mergeCell ref="AB1:AF1"/>
    <mergeCell ref="T2:X2"/>
    <mergeCell ref="AB2:AF2"/>
    <mergeCell ref="T3:X3"/>
    <mergeCell ref="AB3:AF3"/>
    <mergeCell ref="AE4:AF4"/>
    <mergeCell ref="Q5:S5"/>
    <mergeCell ref="U5:V5"/>
    <mergeCell ref="Y5:AA5"/>
    <mergeCell ref="AC5:AD5"/>
    <mergeCell ref="Q4:S4"/>
    <mergeCell ref="U4:V4"/>
    <mergeCell ref="W4:X4"/>
    <mergeCell ref="Y4:AA4"/>
    <mergeCell ref="AC4:AD4"/>
    <mergeCell ref="Q7:X10"/>
    <mergeCell ref="T24:X25"/>
    <mergeCell ref="Q35:X36"/>
    <mergeCell ref="T43:X44"/>
    <mergeCell ref="Q58:S60"/>
    <mergeCell ref="T58:X58"/>
    <mergeCell ref="T59:X59"/>
    <mergeCell ref="T60:X60"/>
    <mergeCell ref="Q61:S61"/>
    <mergeCell ref="U61:V61"/>
    <mergeCell ref="W61:X61"/>
    <mergeCell ref="Q62:S62"/>
    <mergeCell ref="U62:V62"/>
    <mergeCell ref="R105:W105"/>
    <mergeCell ref="Q117:S119"/>
    <mergeCell ref="T117:X117"/>
    <mergeCell ref="T118:X118"/>
    <mergeCell ref="T119:X119"/>
    <mergeCell ref="R140:X141"/>
    <mergeCell ref="R143:X144"/>
    <mergeCell ref="R145:X147"/>
    <mergeCell ref="Q120:S120"/>
    <mergeCell ref="U120:V120"/>
    <mergeCell ref="W120:X120"/>
    <mergeCell ref="Q121:S121"/>
    <mergeCell ref="U121:V121"/>
  </mergeCells>
  <pageMargins left="0.75" right="0.75" top="1" bottom="1" header="0" footer="0"/>
  <pageSetup paperSize="9" scale="91" fitToHeight="0" orientation="portrait"/>
  <headerFooter alignWithMargins="0">
    <oddFooter>&amp;L&amp;D&amp;R&amp;P/&amp;N</oddFooter>
  </headerFooter>
  <rowBreaks count="2" manualBreakCount="2">
    <brk id="57" min="16" max="23" man="1"/>
    <brk id="116" min="16" max="2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  <pageSetUpPr fitToPage="1"/>
  </sheetPr>
  <dimension ref="A1:AF179"/>
  <sheetViews>
    <sheetView topLeftCell="A138" workbookViewId="0">
      <selection sqref="A1:C3"/>
    </sheetView>
    <sheetView tabSelected="1" topLeftCell="A151" workbookViewId="1">
      <selection sqref="A1:AK5"/>
    </sheetView>
  </sheetViews>
  <sheetFormatPr defaultColWidth="11.42578125" defaultRowHeight="12.75" x14ac:dyDescent="0.2"/>
  <cols>
    <col min="1" max="1" width="7.140625" customWidth="1"/>
    <col min="2" max="2" width="10.85546875" customWidth="1"/>
    <col min="3" max="3" width="12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8.42578125" customWidth="1"/>
    <col min="10" max="10" width="7" customWidth="1"/>
    <col min="11" max="11" width="12.140625" bestFit="1" customWidth="1"/>
    <col min="16" max="16" width="10.42578125" customWidth="1"/>
    <col min="18" max="18" width="9.42578125" customWidth="1"/>
    <col min="19" max="19" width="12.85546875" customWidth="1"/>
    <col min="20" max="20" width="12.42578125" customWidth="1"/>
    <col min="21" max="21" width="15.85546875" customWidth="1"/>
    <col min="22" max="22" width="13.85546875" customWidth="1"/>
    <col min="24" max="24" width="12.42578125" customWidth="1"/>
    <col min="26" max="26" width="12.85546875" customWidth="1"/>
    <col min="27" max="27" width="12" customWidth="1"/>
    <col min="28" max="29" width="12.85546875" customWidth="1"/>
    <col min="30" max="30" width="13.140625" customWidth="1"/>
    <col min="31" max="31" width="11.85546875" customWidth="1"/>
  </cols>
  <sheetData>
    <row r="1" spans="1:32" ht="17.25" customHeight="1" thickTop="1" thickBot="1" x14ac:dyDescent="0.3">
      <c r="A1" s="988"/>
      <c r="B1" s="823"/>
      <c r="C1" s="871"/>
      <c r="D1" s="934" t="str">
        <f>'Front Page'!$A$13</f>
        <v>Mechanical  Calculations</v>
      </c>
      <c r="E1" s="842"/>
      <c r="F1" s="842"/>
      <c r="G1" s="842"/>
      <c r="H1" s="859"/>
      <c r="I1" s="988"/>
      <c r="J1" s="823"/>
      <c r="K1" s="871"/>
      <c r="L1" s="934" t="str">
        <f>'Front Page'!$A$13</f>
        <v>Mechanical  Calculations</v>
      </c>
      <c r="M1" s="842"/>
      <c r="N1" s="842"/>
      <c r="O1" s="842"/>
      <c r="P1" s="859"/>
      <c r="Q1" s="988"/>
      <c r="R1" s="823"/>
      <c r="S1" s="871"/>
      <c r="T1" s="934" t="str">
        <f>'Front Page'!$A$13</f>
        <v>Mechanical  Calculations</v>
      </c>
      <c r="U1" s="842"/>
      <c r="V1" s="842"/>
      <c r="W1" s="842"/>
      <c r="X1" s="859"/>
      <c r="Y1" s="988"/>
      <c r="Z1" s="823"/>
      <c r="AA1" s="871"/>
      <c r="AB1" s="934" t="str">
        <f>'Front Page'!$A$13</f>
        <v>Mechanical  Calculations</v>
      </c>
      <c r="AC1" s="842"/>
      <c r="AD1" s="842"/>
      <c r="AE1" s="842"/>
      <c r="AF1" s="859"/>
    </row>
    <row r="2" spans="1:32" ht="16.5" customHeight="1" thickBot="1" x14ac:dyDescent="0.3">
      <c r="A2" s="825"/>
      <c r="B2" s="809"/>
      <c r="C2" s="989"/>
      <c r="D2" s="984"/>
      <c r="E2" s="831"/>
      <c r="F2" s="831"/>
      <c r="G2" s="831"/>
      <c r="H2" s="854"/>
      <c r="I2" s="825"/>
      <c r="J2" s="809"/>
      <c r="K2" s="989"/>
      <c r="L2" s="984">
        <f>'Front Page'!$A$21</f>
        <v>0</v>
      </c>
      <c r="M2" s="831"/>
      <c r="N2" s="831"/>
      <c r="O2" s="831"/>
      <c r="P2" s="854"/>
      <c r="Q2" s="825"/>
      <c r="R2" s="809"/>
      <c r="S2" s="989"/>
      <c r="T2" s="984">
        <f>'Front Page'!$A$21</f>
        <v>0</v>
      </c>
      <c r="U2" s="831"/>
      <c r="V2" s="831"/>
      <c r="W2" s="831"/>
      <c r="X2" s="854"/>
      <c r="Y2" s="825"/>
      <c r="Z2" s="809"/>
      <c r="AA2" s="989"/>
      <c r="AB2" s="984">
        <f>'Front Page'!$A$21</f>
        <v>0</v>
      </c>
      <c r="AC2" s="831"/>
      <c r="AD2" s="831"/>
      <c r="AE2" s="831"/>
      <c r="AF2" s="854"/>
    </row>
    <row r="3" spans="1:32" ht="16.5" customHeight="1" thickBot="1" x14ac:dyDescent="0.3">
      <c r="A3" s="827"/>
      <c r="B3" s="828"/>
      <c r="C3" s="857"/>
      <c r="D3" s="985" t="s">
        <v>1042</v>
      </c>
      <c r="E3" s="834"/>
      <c r="F3" s="834"/>
      <c r="G3" s="834"/>
      <c r="H3" s="986"/>
      <c r="I3" s="827"/>
      <c r="J3" s="828"/>
      <c r="K3" s="857"/>
      <c r="L3" s="985" t="s">
        <v>1042</v>
      </c>
      <c r="M3" s="834"/>
      <c r="N3" s="834"/>
      <c r="O3" s="834"/>
      <c r="P3" s="986"/>
      <c r="Q3" s="827"/>
      <c r="R3" s="828"/>
      <c r="S3" s="857"/>
      <c r="T3" s="985" t="s">
        <v>1042</v>
      </c>
      <c r="U3" s="834"/>
      <c r="V3" s="834"/>
      <c r="W3" s="834"/>
      <c r="X3" s="986"/>
      <c r="Y3" s="827"/>
      <c r="Z3" s="828"/>
      <c r="AA3" s="857"/>
      <c r="AB3" s="985" t="s">
        <v>1042</v>
      </c>
      <c r="AC3" s="834"/>
      <c r="AD3" s="834"/>
      <c r="AE3" s="834"/>
      <c r="AF3" s="986"/>
    </row>
    <row r="4" spans="1:32" ht="16.5" customHeight="1" thickTop="1" thickBot="1" x14ac:dyDescent="0.3">
      <c r="A4" s="873"/>
      <c r="B4" s="848"/>
      <c r="C4" s="865"/>
      <c r="D4" s="385" t="str">
        <f>'Front Page'!$D$4</f>
        <v>Doc Nº</v>
      </c>
      <c r="E4" s="980"/>
      <c r="F4" s="843"/>
      <c r="G4" s="980"/>
      <c r="H4" s="843"/>
      <c r="I4" s="873"/>
      <c r="J4" s="848"/>
      <c r="K4" s="865"/>
      <c r="L4" s="385" t="str">
        <f>'Front Page'!$D$4</f>
        <v>Doc Nº</v>
      </c>
      <c r="M4" s="980"/>
      <c r="N4" s="843"/>
      <c r="O4" s="980"/>
      <c r="P4" s="843"/>
      <c r="Q4" s="873"/>
      <c r="R4" s="848"/>
      <c r="S4" s="865"/>
      <c r="T4" s="385" t="str">
        <f>'Front Page'!$D$4</f>
        <v>Doc Nº</v>
      </c>
      <c r="U4" s="980"/>
      <c r="V4" s="843"/>
      <c r="W4" s="980"/>
      <c r="X4" s="843"/>
      <c r="Y4" s="873">
        <f>'Front Page'!$A$4</f>
        <v>0</v>
      </c>
      <c r="Z4" s="848"/>
      <c r="AA4" s="865"/>
      <c r="AB4" s="385" t="str">
        <f>'Front Page'!$D$4</f>
        <v>Doc Nº</v>
      </c>
      <c r="AC4" s="980">
        <f>'Front Page'!$F$4</f>
        <v>0</v>
      </c>
      <c r="AD4" s="843"/>
      <c r="AE4" s="980"/>
      <c r="AF4" s="843"/>
    </row>
    <row r="5" spans="1:32" ht="15.75" customHeight="1" thickBot="1" x14ac:dyDescent="0.3">
      <c r="A5" s="860"/>
      <c r="B5" s="851"/>
      <c r="C5" s="861"/>
      <c r="D5" s="386" t="str">
        <f>'Front Page'!$D$5</f>
        <v>Project</v>
      </c>
      <c r="E5" s="899"/>
      <c r="F5" s="835"/>
      <c r="G5" s="131" t="s">
        <v>5</v>
      </c>
      <c r="H5" s="132"/>
      <c r="I5" s="860"/>
      <c r="J5" s="851"/>
      <c r="K5" s="861"/>
      <c r="L5" s="386" t="str">
        <f>'Front Page'!$D$5</f>
        <v>Project</v>
      </c>
      <c r="M5" s="899"/>
      <c r="N5" s="835"/>
      <c r="O5" s="131" t="s">
        <v>5</v>
      </c>
      <c r="P5" s="132"/>
      <c r="Q5" s="860"/>
      <c r="R5" s="851"/>
      <c r="S5" s="861"/>
      <c r="T5" s="386" t="str">
        <f>'Front Page'!$D$5</f>
        <v>Project</v>
      </c>
      <c r="U5" s="899"/>
      <c r="V5" s="835"/>
      <c r="W5" s="131" t="s">
        <v>5</v>
      </c>
      <c r="X5" s="132"/>
      <c r="Y5" s="860">
        <f>'Front Page'!$A$5</f>
        <v>0</v>
      </c>
      <c r="Z5" s="851"/>
      <c r="AA5" s="861"/>
      <c r="AB5" s="386" t="str">
        <f>'Front Page'!$D$5</f>
        <v>Project</v>
      </c>
      <c r="AC5" s="899">
        <f>'Front Page'!$F$5</f>
        <v>0</v>
      </c>
      <c r="AD5" s="835"/>
      <c r="AE5" s="131" t="s">
        <v>5</v>
      </c>
      <c r="AF5" s="132">
        <f>MAX('Front Page'!$A$36:$A$49)</f>
        <v>0</v>
      </c>
    </row>
    <row r="6" spans="1:32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976" t="s">
        <v>1043</v>
      </c>
      <c r="B7" s="809"/>
      <c r="C7" s="809"/>
      <c r="D7" s="809"/>
      <c r="E7" s="809"/>
      <c r="F7" s="809"/>
      <c r="G7" s="809"/>
      <c r="H7" s="809"/>
      <c r="I7" s="5"/>
      <c r="J7" s="5"/>
      <c r="K7" s="5"/>
      <c r="L7" s="5"/>
      <c r="M7" s="5"/>
      <c r="N7" s="5"/>
      <c r="O7" s="5"/>
      <c r="P7" s="5"/>
      <c r="Q7" s="976" t="s">
        <v>1043</v>
      </c>
      <c r="R7" s="809"/>
      <c r="S7" s="809"/>
      <c r="T7" s="809"/>
      <c r="U7" s="809"/>
      <c r="V7" s="809"/>
      <c r="W7" s="809"/>
      <c r="X7" s="809"/>
      <c r="Y7" s="5"/>
      <c r="Z7" s="5"/>
      <c r="AA7" s="5"/>
      <c r="AB7" s="5"/>
      <c r="AC7" s="5"/>
      <c r="AD7" s="5"/>
      <c r="AE7" s="5"/>
      <c r="AF7" s="5"/>
    </row>
    <row r="8" spans="1:32" ht="18" customHeight="1" x14ac:dyDescent="0.2">
      <c r="A8" s="809"/>
      <c r="B8" s="809"/>
      <c r="C8" s="809"/>
      <c r="D8" s="809"/>
      <c r="E8" s="809"/>
      <c r="F8" s="809"/>
      <c r="G8" s="809"/>
      <c r="H8" s="809"/>
      <c r="I8" s="5"/>
      <c r="J8" s="5"/>
      <c r="K8" s="5"/>
      <c r="L8" s="5"/>
      <c r="M8" s="5"/>
      <c r="N8" s="5"/>
      <c r="O8" s="5"/>
      <c r="P8" s="5"/>
      <c r="Q8" s="809"/>
      <c r="R8" s="809"/>
      <c r="S8" s="809"/>
      <c r="T8" s="809"/>
      <c r="U8" s="809"/>
      <c r="V8" s="809"/>
      <c r="W8" s="809"/>
      <c r="X8" s="809"/>
      <c r="Y8" s="5"/>
      <c r="Z8" s="5"/>
      <c r="AA8" s="5"/>
      <c r="AB8" s="5"/>
      <c r="AC8" s="5"/>
      <c r="AD8" s="5"/>
      <c r="AE8" s="5"/>
      <c r="AF8" s="5"/>
    </row>
    <row r="9" spans="1:32" ht="12.75" customHeight="1" x14ac:dyDescent="0.2">
      <c r="A9" s="809"/>
      <c r="B9" s="809"/>
      <c r="C9" s="809"/>
      <c r="D9" s="809"/>
      <c r="E9" s="809"/>
      <c r="F9" s="809"/>
      <c r="G9" s="809"/>
      <c r="H9" s="809"/>
      <c r="I9" s="5"/>
      <c r="J9" s="5"/>
      <c r="K9" s="5"/>
      <c r="L9" s="5"/>
      <c r="M9" s="5"/>
      <c r="N9" s="5"/>
      <c r="O9" s="5"/>
      <c r="P9" s="5"/>
      <c r="Q9" s="809"/>
      <c r="R9" s="809"/>
      <c r="S9" s="809"/>
      <c r="T9" s="809"/>
      <c r="U9" s="809"/>
      <c r="V9" s="809"/>
      <c r="W9" s="809"/>
      <c r="X9" s="809"/>
      <c r="Y9" s="5"/>
      <c r="Z9" s="5"/>
      <c r="AA9" s="5"/>
      <c r="AB9" s="5"/>
      <c r="AC9" s="5"/>
      <c r="AD9" s="5"/>
      <c r="AE9" s="5"/>
      <c r="AF9" s="5"/>
    </row>
    <row r="10" spans="1:32" ht="8.25" customHeight="1" x14ac:dyDescent="0.2">
      <c r="A10" s="809"/>
      <c r="B10" s="809"/>
      <c r="C10" s="809"/>
      <c r="D10" s="809"/>
      <c r="E10" s="809"/>
      <c r="F10" s="809"/>
      <c r="G10" s="809"/>
      <c r="H10" s="809"/>
      <c r="I10" s="5"/>
      <c r="J10" s="5"/>
      <c r="K10" s="5"/>
      <c r="L10" s="5"/>
      <c r="M10" s="5"/>
      <c r="N10" s="5"/>
      <c r="O10" s="5"/>
      <c r="P10" s="5"/>
      <c r="Q10" s="809"/>
      <c r="R10" s="809"/>
      <c r="S10" s="809"/>
      <c r="T10" s="809"/>
      <c r="U10" s="809"/>
      <c r="V10" s="809"/>
      <c r="W10" s="809"/>
      <c r="X10" s="809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>
        <f>B17</f>
        <v>155.12961941533371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118" t="s">
        <v>1044</v>
      </c>
      <c r="B12" s="5"/>
      <c r="C12" s="5"/>
      <c r="D12" s="5"/>
      <c r="E12" s="5"/>
      <c r="F12" s="5"/>
      <c r="G12" s="5"/>
      <c r="H12" s="5"/>
      <c r="I12" s="5"/>
      <c r="J12" s="117"/>
      <c r="K12" s="5"/>
      <c r="L12" s="5"/>
      <c r="M12" s="5"/>
      <c r="N12" s="5"/>
      <c r="O12" s="5"/>
      <c r="P12" s="5"/>
      <c r="Q12" s="118" t="s">
        <v>1044</v>
      </c>
      <c r="R12" s="5"/>
      <c r="S12" s="5"/>
      <c r="T12" s="5"/>
      <c r="U12" s="5"/>
      <c r="V12" s="5"/>
      <c r="W12" s="5"/>
      <c r="X12" s="5"/>
      <c r="Y12" s="5"/>
      <c r="Z12" s="117"/>
      <c r="AA12" s="5"/>
      <c r="AB12" s="5"/>
      <c r="AC12" s="5"/>
      <c r="AD12" s="5"/>
      <c r="AE12" s="5"/>
      <c r="AF12" s="5"/>
    </row>
    <row r="13" spans="1:32" x14ac:dyDescent="0.2">
      <c r="A13" s="5"/>
      <c r="B13" s="5"/>
      <c r="C13" s="5"/>
      <c r="D13" s="5"/>
      <c r="E13" s="5"/>
      <c r="F13" s="5"/>
      <c r="G13" s="5"/>
      <c r="H13" s="5"/>
      <c r="I13" s="5"/>
      <c r="J13" s="11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7"/>
      <c r="AA13" s="5"/>
      <c r="AB13" s="5"/>
      <c r="AC13" s="5"/>
      <c r="AD13" s="5"/>
      <c r="AE13" s="5"/>
      <c r="AF13" s="5"/>
    </row>
    <row r="14" spans="1:32" x14ac:dyDescent="0.2">
      <c r="A14" s="117" t="s">
        <v>1045</v>
      </c>
      <c r="B14" s="263">
        <f>'Main Dimensions Calcs'!D53+'Main Dimensions Calcs'!H7*2</f>
        <v>20616</v>
      </c>
      <c r="C14" s="5" t="s">
        <v>247</v>
      </c>
      <c r="D14" s="64" t="s">
        <v>1046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17" t="s">
        <v>1045</v>
      </c>
      <c r="R14" s="265">
        <f>B14/304.8</f>
        <v>67.637795275590548</v>
      </c>
      <c r="S14" s="64" t="s">
        <v>1047</v>
      </c>
      <c r="T14" s="64" t="s">
        <v>1046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">
      <c r="A15" s="117" t="s">
        <v>1048</v>
      </c>
      <c r="B15" s="216">
        <v>195000</v>
      </c>
      <c r="C15" s="5" t="s">
        <v>925</v>
      </c>
      <c r="D15" s="64" t="s">
        <v>1049</v>
      </c>
      <c r="E15" s="5"/>
      <c r="F15" s="5"/>
      <c r="G15" s="5"/>
      <c r="H15" s="5"/>
      <c r="I15" s="5"/>
      <c r="J15" s="441"/>
      <c r="K15" s="5"/>
      <c r="L15" s="5"/>
      <c r="M15" s="5"/>
      <c r="N15" s="5"/>
      <c r="O15" s="5"/>
      <c r="P15" s="5"/>
      <c r="Q15" s="117" t="s">
        <v>1048</v>
      </c>
      <c r="R15" s="216">
        <f>B15*145.04</f>
        <v>28282800</v>
      </c>
      <c r="S15" s="64" t="s">
        <v>926</v>
      </c>
      <c r="T15" s="64" t="s">
        <v>1049</v>
      </c>
      <c r="U15" s="5"/>
      <c r="V15" s="5"/>
      <c r="W15" s="5"/>
      <c r="X15" s="5"/>
      <c r="Y15" s="5"/>
      <c r="Z15" s="441"/>
      <c r="AA15" s="5"/>
      <c r="AB15" s="5"/>
      <c r="AC15" s="5"/>
      <c r="AD15" s="5"/>
      <c r="AE15" s="5"/>
      <c r="AF15" s="5"/>
    </row>
    <row r="16" spans="1:32" x14ac:dyDescent="0.2">
      <c r="A16" s="117" t="s">
        <v>1050</v>
      </c>
      <c r="B16" s="216">
        <v>3</v>
      </c>
      <c r="C16" s="5"/>
      <c r="D16" s="64" t="s">
        <v>1051</v>
      </c>
      <c r="E16" s="5"/>
      <c r="F16" s="5"/>
      <c r="G16" s="5"/>
      <c r="H16" s="5"/>
      <c r="I16" s="5"/>
      <c r="J16" s="117"/>
      <c r="K16" s="5"/>
      <c r="L16" s="5"/>
      <c r="M16" s="5"/>
      <c r="N16" s="5"/>
      <c r="O16" s="5"/>
      <c r="P16" s="5"/>
      <c r="Q16" s="117" t="s">
        <v>1050</v>
      </c>
      <c r="R16" s="216">
        <v>3</v>
      </c>
      <c r="S16" s="5"/>
      <c r="T16" s="64" t="s">
        <v>1051</v>
      </c>
      <c r="U16" s="5"/>
      <c r="V16" s="5"/>
      <c r="W16" s="5"/>
      <c r="X16" s="5"/>
      <c r="Y16" s="5"/>
      <c r="Z16" s="117"/>
      <c r="AA16" s="5"/>
      <c r="AB16" s="5"/>
      <c r="AC16" s="5"/>
      <c r="AD16" s="5"/>
      <c r="AE16" s="5"/>
      <c r="AF16" s="5"/>
    </row>
    <row r="17" spans="1:32" x14ac:dyDescent="0.2">
      <c r="A17" s="117" t="s">
        <v>1052</v>
      </c>
      <c r="B17" s="389">
        <f>'Allowable Stresses'!G31</f>
        <v>155.12961941533371</v>
      </c>
      <c r="C17" s="5" t="s">
        <v>925</v>
      </c>
      <c r="D17" s="64" t="s">
        <v>1053</v>
      </c>
      <c r="E17" s="5"/>
      <c r="F17" s="5"/>
      <c r="G17" s="5"/>
      <c r="H17" s="5"/>
      <c r="I17" s="5"/>
      <c r="J17" s="117"/>
      <c r="K17" s="5"/>
      <c r="L17" s="5"/>
      <c r="M17" s="5"/>
      <c r="N17" s="5"/>
      <c r="O17" s="5"/>
      <c r="P17" s="5"/>
      <c r="Q17" s="117" t="s">
        <v>1052</v>
      </c>
      <c r="R17" s="216">
        <f>B17*145.04</f>
        <v>22500</v>
      </c>
      <c r="S17" s="64" t="s">
        <v>926</v>
      </c>
      <c r="T17" s="64" t="s">
        <v>1053</v>
      </c>
      <c r="U17" s="5"/>
      <c r="V17" s="5"/>
      <c r="W17" s="5"/>
      <c r="X17" s="5"/>
      <c r="Y17" s="5"/>
      <c r="Z17" s="117"/>
      <c r="AA17" s="5"/>
      <c r="AB17" s="5"/>
      <c r="AC17" s="5"/>
      <c r="AD17" s="5"/>
      <c r="AE17" s="5"/>
      <c r="AF17" s="5"/>
    </row>
    <row r="18" spans="1:32" x14ac:dyDescent="0.2">
      <c r="A18" s="117" t="s">
        <v>1054</v>
      </c>
      <c r="B18" s="265">
        <f>'Main Dimensions Calcs'!I18</f>
        <v>8</v>
      </c>
      <c r="C18" s="5" t="s">
        <v>247</v>
      </c>
      <c r="D18" s="64" t="s">
        <v>1055</v>
      </c>
      <c r="E18" s="5"/>
      <c r="F18" s="5"/>
      <c r="G18" s="5"/>
      <c r="H18" s="5"/>
      <c r="I18" s="5"/>
      <c r="J18" s="117"/>
      <c r="K18" s="5"/>
      <c r="L18" s="5"/>
      <c r="M18" s="5"/>
      <c r="N18" s="5"/>
      <c r="O18" s="5"/>
      <c r="P18" s="5"/>
      <c r="Q18" s="117" t="s">
        <v>1054</v>
      </c>
      <c r="R18" s="265">
        <f>B18/25.4</f>
        <v>0.31496062992125984</v>
      </c>
      <c r="S18" s="64" t="s">
        <v>248</v>
      </c>
      <c r="T18" s="64" t="s">
        <v>1055</v>
      </c>
      <c r="U18" s="5"/>
      <c r="V18" s="5"/>
      <c r="W18" s="5"/>
      <c r="X18" s="5"/>
      <c r="Y18" s="5"/>
      <c r="Z18" s="117"/>
      <c r="AA18" s="5"/>
      <c r="AB18" s="5"/>
      <c r="AC18" s="5"/>
      <c r="AD18" s="5"/>
      <c r="AE18" s="5"/>
      <c r="AF18" s="5"/>
    </row>
    <row r="19" spans="1:32" x14ac:dyDescent="0.2">
      <c r="A19" s="117" t="s">
        <v>1056</v>
      </c>
      <c r="B19" s="5">
        <v>0.3</v>
      </c>
      <c r="C19" s="5"/>
      <c r="D19" s="64" t="s">
        <v>1057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17" t="s">
        <v>1056</v>
      </c>
      <c r="R19" s="5">
        <v>0.3</v>
      </c>
      <c r="S19" s="5"/>
      <c r="T19" s="64" t="s">
        <v>1057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x14ac:dyDescent="0.2">
      <c r="A20" s="117" t="s">
        <v>911</v>
      </c>
      <c r="B20" s="5">
        <f>SUM('Main Dimensions Calcs'!I7:I17)</f>
        <v>7500</v>
      </c>
      <c r="C20" s="5" t="s">
        <v>247</v>
      </c>
      <c r="D20" s="64" t="s">
        <v>1058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17" t="s">
        <v>911</v>
      </c>
      <c r="R20" s="265">
        <f>B20/304.8</f>
        <v>24.606299212598426</v>
      </c>
      <c r="S20" s="64" t="s">
        <v>1047</v>
      </c>
      <c r="T20" s="64" t="s">
        <v>1058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">
      <c r="A21" s="248" t="s">
        <v>971</v>
      </c>
      <c r="B21" s="442">
        <v>80</v>
      </c>
      <c r="C21" s="5" t="s">
        <v>304</v>
      </c>
      <c r="D21" s="64" t="s">
        <v>972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248" t="s">
        <v>971</v>
      </c>
      <c r="R21" s="443">
        <f>B21*0.062428</f>
        <v>4.9942399999999996</v>
      </c>
      <c r="S21" s="64" t="s">
        <v>973</v>
      </c>
      <c r="T21" s="64" t="s">
        <v>972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">
      <c r="A22" s="64" t="s">
        <v>1059</v>
      </c>
      <c r="B22" s="5">
        <v>82.73</v>
      </c>
      <c r="C22" s="5" t="s">
        <v>925</v>
      </c>
      <c r="D22" s="64" t="s">
        <v>1060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64" t="s">
        <v>1059</v>
      </c>
      <c r="R22" s="5">
        <f>B22*145.04</f>
        <v>11999.1592</v>
      </c>
      <c r="S22" s="64" t="s">
        <v>926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">
      <c r="A23" s="5" t="s">
        <v>1061</v>
      </c>
      <c r="B23" s="444">
        <f>R23</f>
        <v>92.997940926125878</v>
      </c>
      <c r="C23" s="5"/>
      <c r="D23" s="901" t="s">
        <v>1062</v>
      </c>
      <c r="E23" s="809"/>
      <c r="F23" s="809"/>
      <c r="G23" s="809"/>
      <c r="H23" s="809"/>
      <c r="I23" s="5"/>
      <c r="J23" s="5"/>
      <c r="K23" s="5"/>
      <c r="L23" s="5"/>
      <c r="M23" s="5"/>
      <c r="N23" s="5"/>
      <c r="O23" s="5"/>
      <c r="P23" s="5"/>
      <c r="Q23" s="5" t="s">
        <v>1061</v>
      </c>
      <c r="R23" s="444">
        <f>SQRT((5.33*R14^3)/('Main Dimensions Calcs'!L40/25.4*R20^2))</f>
        <v>92.997940926125878</v>
      </c>
      <c r="S23" s="5"/>
      <c r="T23" s="901" t="s">
        <v>1062</v>
      </c>
      <c r="U23" s="809"/>
      <c r="V23" s="809"/>
      <c r="W23" s="809"/>
      <c r="X23" s="809"/>
      <c r="Y23" s="5"/>
      <c r="Z23" s="5"/>
      <c r="AA23" s="5"/>
      <c r="AB23" s="5"/>
      <c r="AC23" s="5"/>
      <c r="AD23" s="5"/>
      <c r="AE23" s="5"/>
      <c r="AF23" s="5"/>
    </row>
    <row r="24" spans="1:32" x14ac:dyDescent="0.2">
      <c r="A24" s="480" t="s">
        <v>1061</v>
      </c>
      <c r="B24" s="274"/>
      <c r="C24" s="5"/>
      <c r="D24" s="809"/>
      <c r="E24" s="809"/>
      <c r="F24" s="809"/>
      <c r="G24" s="809"/>
      <c r="H24" s="809"/>
      <c r="I24" s="5"/>
      <c r="J24" s="5"/>
      <c r="K24" s="5"/>
      <c r="L24" s="5"/>
      <c r="M24" s="5"/>
      <c r="N24" s="5"/>
      <c r="O24" s="5"/>
      <c r="P24" s="5"/>
      <c r="Q24" s="226"/>
      <c r="R24" s="5"/>
      <c r="S24" s="5"/>
      <c r="T24" s="809"/>
      <c r="U24" s="809"/>
      <c r="V24" s="809"/>
      <c r="W24" s="809"/>
      <c r="X24" s="809"/>
      <c r="Y24" s="5"/>
      <c r="Z24" s="5"/>
      <c r="AA24" s="5"/>
      <c r="AB24" s="5"/>
      <c r="AC24" s="5"/>
      <c r="AD24" s="5"/>
      <c r="AE24" s="5"/>
      <c r="AF24" s="5"/>
    </row>
    <row r="25" spans="1:32" x14ac:dyDescent="0.2">
      <c r="A25" s="226"/>
      <c r="B25" s="5"/>
      <c r="C25" s="5"/>
      <c r="D25" s="441" t="s">
        <v>1063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26"/>
      <c r="R25" s="5"/>
      <c r="S25" s="5"/>
      <c r="T25" s="441" t="s">
        <v>1063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2">
      <c r="A26" s="341" t="s">
        <v>1064</v>
      </c>
      <c r="B26" s="5">
        <v>0.436</v>
      </c>
      <c r="C26" s="64" t="s">
        <v>424</v>
      </c>
      <c r="D26" s="64" t="s">
        <v>1065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41" t="s">
        <v>1064</v>
      </c>
      <c r="R26" s="5">
        <v>0.436</v>
      </c>
      <c r="S26" s="64" t="s">
        <v>424</v>
      </c>
      <c r="T26" s="64" t="s">
        <v>1065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">
      <c r="A27" s="446" t="s">
        <v>1066</v>
      </c>
      <c r="B27" s="5">
        <v>0.61</v>
      </c>
      <c r="C27" s="64" t="s">
        <v>424</v>
      </c>
      <c r="D27" s="64" t="s">
        <v>1067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6" t="s">
        <v>1066</v>
      </c>
      <c r="R27" s="5">
        <v>0.61</v>
      </c>
      <c r="S27" s="64" t="s">
        <v>424</v>
      </c>
      <c r="T27" s="64" t="s">
        <v>1067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2.75" customHeight="1" x14ac:dyDescent="0.2">
      <c r="A28" s="341" t="s">
        <v>1068</v>
      </c>
      <c r="B28" s="265">
        <f>(1-SIN(B26))/(1+SIN(B26))</f>
        <v>0.40615623300119247</v>
      </c>
      <c r="C28" s="5"/>
      <c r="D28" s="64" t="s">
        <v>1069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341" t="s">
        <v>1068</v>
      </c>
      <c r="R28" s="265">
        <f>(1-SIN(R26))/(1+SIN(R26))</f>
        <v>0.40615623300119247</v>
      </c>
      <c r="S28" s="5"/>
      <c r="T28" s="64" t="s">
        <v>1069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2.75" customHeight="1" x14ac:dyDescent="0.2">
      <c r="A29" s="446" t="s">
        <v>1070</v>
      </c>
      <c r="B29" s="265">
        <f>TAN(B27)</f>
        <v>0.69891886227739108</v>
      </c>
      <c r="C29" s="5"/>
      <c r="D29" s="64" t="s">
        <v>1071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46" t="s">
        <v>1070</v>
      </c>
      <c r="R29" s="265">
        <f>TAN(R27)</f>
        <v>0.69891886227739108</v>
      </c>
      <c r="S29" s="5"/>
      <c r="T29" s="64" t="s">
        <v>1071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">
      <c r="A30" s="341" t="s">
        <v>1072</v>
      </c>
      <c r="B30" s="5">
        <f>B14/4/(B29*B28)</f>
        <v>18156.182124316867</v>
      </c>
      <c r="C30" s="64" t="s">
        <v>247</v>
      </c>
      <c r="D30" s="64" t="s">
        <v>1073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341" t="s">
        <v>1072</v>
      </c>
      <c r="R30" s="265">
        <f>B30/25.4</f>
        <v>714.81031985499476</v>
      </c>
      <c r="S30" s="64" t="s">
        <v>248</v>
      </c>
      <c r="T30" s="64" t="s">
        <v>1073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x14ac:dyDescent="0.2">
      <c r="A31" s="226"/>
      <c r="B31" s="5"/>
      <c r="C31" s="5"/>
      <c r="D31" s="441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26"/>
      <c r="R31" s="5"/>
      <c r="S31" s="5"/>
      <c r="T31" s="441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x14ac:dyDescent="0.2">
      <c r="A32" s="118" t="s">
        <v>1074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18" t="s">
        <v>1074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x14ac:dyDescent="0.2">
      <c r="A34" s="226" t="s">
        <v>1075</v>
      </c>
      <c r="B34" s="327">
        <f>'Main Dimensions Calcs'!D68</f>
        <v>6</v>
      </c>
      <c r="C34" s="64" t="s">
        <v>346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26" t="s">
        <v>1075</v>
      </c>
      <c r="R34" s="327">
        <f>B34</f>
        <v>6</v>
      </c>
      <c r="S34" s="64" t="s">
        <v>346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x14ac:dyDescent="0.2">
      <c r="A35" s="226" t="s">
        <v>1076</v>
      </c>
      <c r="B35" s="327">
        <f>'Main Dimensions Calcs'!D69</f>
        <v>20856</v>
      </c>
      <c r="C35" s="64" t="s">
        <v>1077</v>
      </c>
      <c r="D35" s="5"/>
      <c r="E35" s="5"/>
      <c r="F35" s="5"/>
      <c r="G35" s="5"/>
      <c r="H35" s="5"/>
      <c r="I35" s="5"/>
      <c r="J35" s="226" t="s">
        <v>1078</v>
      </c>
      <c r="K35" s="327">
        <f>'Main Dimensions Calcs'!D70</f>
        <v>0</v>
      </c>
      <c r="L35" s="5" t="s">
        <v>1079</v>
      </c>
      <c r="M35" s="5"/>
      <c r="N35" s="5"/>
      <c r="O35" s="5"/>
      <c r="P35" s="5"/>
      <c r="Q35" s="226" t="s">
        <v>1076</v>
      </c>
      <c r="R35" s="265">
        <f>B35/25.4</f>
        <v>821.1023622047245</v>
      </c>
      <c r="S35" s="64" t="s">
        <v>1080</v>
      </c>
      <c r="T35" s="5"/>
      <c r="U35" s="5"/>
      <c r="V35" s="5"/>
      <c r="W35" s="5"/>
      <c r="X35" s="5"/>
      <c r="Y35" s="5"/>
      <c r="Z35" s="226" t="s">
        <v>1078</v>
      </c>
      <c r="AA35" s="265">
        <f>K35/25.4</f>
        <v>0</v>
      </c>
      <c r="AB35" s="64" t="s">
        <v>1081</v>
      </c>
      <c r="AC35" s="5"/>
      <c r="AD35" s="5"/>
      <c r="AE35" s="5"/>
      <c r="AF35" s="5"/>
    </row>
    <row r="36" spans="1:32" x14ac:dyDescent="0.2">
      <c r="A36" s="226" t="s">
        <v>1082</v>
      </c>
      <c r="B36" s="327">
        <f>'Main Dimensions Calcs'!D72</f>
        <v>120</v>
      </c>
      <c r="C36" s="64" t="s">
        <v>1083</v>
      </c>
      <c r="D36" s="5"/>
      <c r="E36" s="5"/>
      <c r="F36" s="5"/>
      <c r="G36" s="5"/>
      <c r="H36" s="5"/>
      <c r="I36" s="5"/>
      <c r="J36" s="226" t="s">
        <v>1084</v>
      </c>
      <c r="K36" s="327">
        <f>'Main Dimensions Calcs'!D71</f>
        <v>0</v>
      </c>
      <c r="L36" s="5" t="s">
        <v>1085</v>
      </c>
      <c r="M36" s="5"/>
      <c r="N36" s="5"/>
      <c r="O36" s="5"/>
      <c r="P36" s="5"/>
      <c r="Q36" s="226" t="s">
        <v>1082</v>
      </c>
      <c r="R36" s="265">
        <f>B36/25.4</f>
        <v>4.7244094488188981</v>
      </c>
      <c r="S36" s="64" t="s">
        <v>1086</v>
      </c>
      <c r="T36" s="5"/>
      <c r="U36" s="5"/>
      <c r="V36" s="5"/>
      <c r="W36" s="5"/>
      <c r="X36" s="5"/>
      <c r="Y36" s="5"/>
      <c r="Z36" s="226" t="s">
        <v>1084</v>
      </c>
      <c r="AA36" s="265">
        <f>K36/25.4</f>
        <v>0</v>
      </c>
      <c r="AB36" s="64" t="s">
        <v>1087</v>
      </c>
      <c r="AC36" s="5"/>
      <c r="AD36" s="5"/>
      <c r="AE36" s="5"/>
      <c r="AF36" s="5"/>
    </row>
    <row r="37" spans="1:32" x14ac:dyDescent="0.2">
      <c r="A37" s="226" t="s">
        <v>1088</v>
      </c>
      <c r="B37" s="327">
        <f>'Main Dimensions Calcs'!D73</f>
        <v>10</v>
      </c>
      <c r="C37" s="64" t="s">
        <v>394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26" t="s">
        <v>1088</v>
      </c>
      <c r="R37" s="265">
        <f>B37/25.4</f>
        <v>0.39370078740157483</v>
      </c>
      <c r="S37" s="64" t="s">
        <v>1089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2">
      <c r="A38" s="226" t="s">
        <v>1090</v>
      </c>
      <c r="B38" s="389">
        <f>K35*K36+B36*B37</f>
        <v>1200</v>
      </c>
      <c r="C38" s="64" t="s">
        <v>395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26" t="s">
        <v>1090</v>
      </c>
      <c r="R38" s="389">
        <f>AA35*AA36+R36*R37</f>
        <v>1.8600037200074404</v>
      </c>
      <c r="S38" s="64" t="s">
        <v>1091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x14ac:dyDescent="0.2">
      <c r="A40" s="994" t="s">
        <v>1092</v>
      </c>
      <c r="B40" s="809"/>
      <c r="C40" s="809"/>
      <c r="D40" s="809"/>
      <c r="E40" s="809"/>
      <c r="F40" s="809"/>
      <c r="G40" s="809"/>
      <c r="H40" s="809"/>
      <c r="I40" s="5"/>
      <c r="J40" s="5"/>
      <c r="K40" s="5"/>
      <c r="L40" s="5"/>
      <c r="M40" s="5"/>
      <c r="N40" s="5"/>
      <c r="O40" s="5"/>
      <c r="P40" s="5"/>
      <c r="Q40" s="994" t="s">
        <v>1092</v>
      </c>
      <c r="R40" s="809"/>
      <c r="S40" s="809"/>
      <c r="T40" s="809"/>
      <c r="U40" s="809"/>
      <c r="V40" s="809"/>
      <c r="W40" s="809"/>
      <c r="X40" s="809"/>
      <c r="Y40" s="5"/>
      <c r="Z40" s="5"/>
      <c r="AA40" s="5"/>
      <c r="AB40" s="5"/>
      <c r="AC40" s="5"/>
      <c r="AD40" s="5"/>
      <c r="AE40" s="5"/>
      <c r="AF40" s="5"/>
    </row>
    <row r="41" spans="1:32" x14ac:dyDescent="0.2">
      <c r="A41" s="809"/>
      <c r="B41" s="809"/>
      <c r="C41" s="809"/>
      <c r="D41" s="809"/>
      <c r="E41" s="809"/>
      <c r="F41" s="809"/>
      <c r="G41" s="809"/>
      <c r="H41" s="809"/>
      <c r="I41" s="5"/>
      <c r="J41" s="5"/>
      <c r="K41" s="5"/>
      <c r="L41" s="5"/>
      <c r="M41" s="5"/>
      <c r="N41" s="5"/>
      <c r="O41" s="5"/>
      <c r="P41" s="5"/>
      <c r="Q41" s="809"/>
      <c r="R41" s="809"/>
      <c r="S41" s="809"/>
      <c r="T41" s="809"/>
      <c r="U41" s="809"/>
      <c r="V41" s="809"/>
      <c r="W41" s="809"/>
      <c r="X41" s="809"/>
      <c r="Y41" s="5"/>
      <c r="Z41" s="5"/>
      <c r="AA41" s="5"/>
      <c r="AB41" s="5"/>
      <c r="AC41" s="5"/>
      <c r="AD41" s="5"/>
      <c r="AE41" s="5"/>
      <c r="AF41" s="5"/>
    </row>
    <row r="42" spans="1:3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x14ac:dyDescent="0.2">
      <c r="A43" s="5" t="s">
        <v>1093</v>
      </c>
      <c r="B43" s="389">
        <f>'Main Dimensions Calcs'!D33</f>
        <v>19400</v>
      </c>
      <c r="C43" s="5" t="s">
        <v>247</v>
      </c>
      <c r="D43" s="64" t="s">
        <v>1094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 t="s">
        <v>1093</v>
      </c>
      <c r="R43" s="265">
        <f>B43/25.4</f>
        <v>763.77952755905517</v>
      </c>
      <c r="S43" s="64" t="s">
        <v>248</v>
      </c>
      <c r="T43" s="64" t="s">
        <v>1094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x14ac:dyDescent="0.2">
      <c r="A44" s="5" t="s">
        <v>1095</v>
      </c>
      <c r="B44" s="389">
        <f>'Main Dimensions Calcs'!D54</f>
        <v>18000</v>
      </c>
      <c r="C44" s="5" t="s">
        <v>247</v>
      </c>
      <c r="D44" s="64" t="s">
        <v>1096</v>
      </c>
      <c r="E44" s="5"/>
      <c r="F44" s="5"/>
      <c r="G44" s="5"/>
      <c r="H44" s="5"/>
      <c r="I44" s="5"/>
      <c r="J44" s="263"/>
      <c r="K44" s="5"/>
      <c r="L44" s="5"/>
      <c r="M44" s="5"/>
      <c r="N44" s="5"/>
      <c r="O44" s="5"/>
      <c r="P44" s="5"/>
      <c r="Q44" s="5" t="s">
        <v>1095</v>
      </c>
      <c r="R44" s="265">
        <f>B44/25.4</f>
        <v>708.66141732283472</v>
      </c>
      <c r="S44" s="64" t="s">
        <v>248</v>
      </c>
      <c r="T44" s="64" t="s">
        <v>1096</v>
      </c>
      <c r="U44" s="5"/>
      <c r="V44" s="5"/>
      <c r="W44" s="5"/>
      <c r="X44" s="5"/>
      <c r="Y44" s="5"/>
      <c r="Z44" s="263"/>
      <c r="AA44" s="5"/>
      <c r="AB44" s="5"/>
      <c r="AC44" s="5"/>
      <c r="AD44" s="5"/>
      <c r="AE44" s="5"/>
      <c r="AF44" s="5"/>
    </row>
    <row r="45" spans="1:32" x14ac:dyDescent="0.2">
      <c r="A45" s="5" t="s">
        <v>1097</v>
      </c>
      <c r="B45" s="332">
        <f>'Inner Tank Compression Ring 1'!B39</f>
        <v>0.82009860894593756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 t="s">
        <v>1097</v>
      </c>
      <c r="R45" s="332">
        <f>B45</f>
        <v>0.82009860894593756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x14ac:dyDescent="0.2">
      <c r="A46" s="5" t="s">
        <v>1098</v>
      </c>
      <c r="B46" s="332">
        <f>(1-B45^2)^0.5</f>
        <v>0.57222222222222219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 t="s">
        <v>1098</v>
      </c>
      <c r="R46" s="332">
        <f>(1-R45^2)^0.5</f>
        <v>0.57222222222222219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x14ac:dyDescent="0.2">
      <c r="A48" s="5" t="s">
        <v>1099</v>
      </c>
      <c r="B48" s="263">
        <f>('Main Dimensions Calcs'!J34-'Main Dimensions Calcs'!E82-'Main Dimensions Calcs'!J17)</f>
        <v>-1000</v>
      </c>
      <c r="C48" s="5" t="s">
        <v>247</v>
      </c>
      <c r="D48" s="901" t="s">
        <v>1100</v>
      </c>
      <c r="E48" s="809"/>
      <c r="F48" s="809"/>
      <c r="G48" s="809"/>
      <c r="H48" s="809"/>
      <c r="I48" s="5"/>
      <c r="J48" s="5"/>
      <c r="K48" s="5"/>
      <c r="L48" s="5"/>
      <c r="M48" s="5"/>
      <c r="N48" s="5"/>
      <c r="O48" s="5"/>
      <c r="P48" s="5"/>
      <c r="Q48" s="5" t="s">
        <v>1099</v>
      </c>
      <c r="R48" s="265">
        <f>B48/25.4</f>
        <v>-39.370078740157481</v>
      </c>
      <c r="S48" s="64" t="s">
        <v>248</v>
      </c>
      <c r="T48" s="901" t="s">
        <v>1100</v>
      </c>
      <c r="U48" s="809"/>
      <c r="V48" s="809"/>
      <c r="W48" s="809"/>
      <c r="X48" s="809"/>
      <c r="Y48" s="5"/>
      <c r="Z48" s="5"/>
      <c r="AA48" s="5"/>
      <c r="AB48" s="5"/>
      <c r="AC48" s="5"/>
      <c r="AD48" s="5"/>
      <c r="AE48" s="5"/>
      <c r="AF48" s="5"/>
    </row>
    <row r="49" spans="1:32" x14ac:dyDescent="0.2">
      <c r="A49" s="5"/>
      <c r="B49" s="5"/>
      <c r="C49" s="5"/>
      <c r="D49" s="809"/>
      <c r="E49" s="809"/>
      <c r="F49" s="809"/>
      <c r="G49" s="809"/>
      <c r="H49" s="80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809"/>
      <c r="U49" s="809"/>
      <c r="V49" s="809"/>
      <c r="W49" s="809"/>
      <c r="X49" s="809"/>
      <c r="Y49" s="5"/>
      <c r="Z49" s="5"/>
      <c r="AA49" s="5"/>
      <c r="AB49" s="5"/>
      <c r="AC49" s="5"/>
      <c r="AD49" s="5"/>
      <c r="AE49" s="5"/>
      <c r="AF49" s="5"/>
    </row>
    <row r="50" spans="1:32" x14ac:dyDescent="0.2">
      <c r="A50" s="5" t="s">
        <v>1101</v>
      </c>
      <c r="B50" s="263">
        <f>(B48-B46)/2</f>
        <v>-500.2861111111111</v>
      </c>
      <c r="C50" s="5" t="s">
        <v>247</v>
      </c>
      <c r="D50" s="64" t="s">
        <v>1102</v>
      </c>
      <c r="E50" s="263"/>
      <c r="F50" s="5"/>
      <c r="G50" s="5"/>
      <c r="H50" s="263"/>
      <c r="I50" s="5"/>
      <c r="J50" s="5"/>
      <c r="K50" s="5"/>
      <c r="L50" s="5"/>
      <c r="M50" s="5"/>
      <c r="N50" s="5"/>
      <c r="O50" s="5"/>
      <c r="P50" s="5"/>
      <c r="Q50" s="5" t="s">
        <v>1101</v>
      </c>
      <c r="R50" s="265">
        <f>B50/25.4</f>
        <v>-19.69630358705162</v>
      </c>
      <c r="S50" s="64" t="s">
        <v>248</v>
      </c>
      <c r="T50" s="64" t="s">
        <v>1102</v>
      </c>
      <c r="U50" s="263"/>
      <c r="V50" s="5"/>
      <c r="W50" s="5"/>
      <c r="X50" s="263"/>
      <c r="Y50" s="5"/>
      <c r="Z50" s="5"/>
      <c r="AA50" s="5"/>
      <c r="AB50" s="5"/>
      <c r="AC50" s="5"/>
      <c r="AD50" s="5"/>
      <c r="AE50" s="5"/>
      <c r="AF50" s="5"/>
    </row>
    <row r="51" spans="1:32" x14ac:dyDescent="0.2">
      <c r="A51" s="5" t="s">
        <v>1103</v>
      </c>
      <c r="B51" s="263">
        <f>B50+B20+B48</f>
        <v>5999.7138888888885</v>
      </c>
      <c r="C51" s="5" t="s">
        <v>247</v>
      </c>
      <c r="D51" s="64" t="s">
        <v>1104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 t="s">
        <v>1103</v>
      </c>
      <c r="R51" s="265">
        <f>B51/25.4</f>
        <v>236.20920822397201</v>
      </c>
      <c r="S51" s="64" t="s">
        <v>248</v>
      </c>
      <c r="T51" s="64" t="s">
        <v>1104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18" t="s">
        <v>1105</v>
      </c>
      <c r="R53" s="5"/>
      <c r="S53" s="285"/>
      <c r="T53" s="448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x14ac:dyDescent="0.2">
      <c r="A55" s="118" t="s">
        <v>1105</v>
      </c>
      <c r="B55" s="5"/>
      <c r="C55" s="285"/>
      <c r="D55" s="44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 t="s">
        <v>1106</v>
      </c>
      <c r="R55" s="389">
        <f>B57*145.04</f>
        <v>0.116032</v>
      </c>
      <c r="S55" s="170" t="s">
        <v>926</v>
      </c>
      <c r="T55" s="64" t="s">
        <v>1211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 t="s">
        <v>1108</v>
      </c>
      <c r="R56" s="389">
        <f>B58*145.04</f>
        <v>7.2520000000000001E-2</v>
      </c>
      <c r="S56" s="170" t="s">
        <v>926</v>
      </c>
      <c r="T56" s="64" t="s">
        <v>1109</v>
      </c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x14ac:dyDescent="0.2">
      <c r="A57" s="433" t="s">
        <v>1106</v>
      </c>
      <c r="B57" s="433">
        <f>'Design Conditions'!G16/10</f>
        <v>8.0000000000000004E-4</v>
      </c>
      <c r="C57" s="450" t="s">
        <v>925</v>
      </c>
      <c r="D57" s="366" t="s">
        <v>1209</v>
      </c>
      <c r="E57" s="433"/>
      <c r="F57" s="433"/>
      <c r="G57" s="433"/>
      <c r="H57" s="433"/>
      <c r="I57" s="5"/>
      <c r="J57" s="5"/>
      <c r="K57" s="5"/>
      <c r="L57" s="5"/>
      <c r="M57" s="5"/>
      <c r="N57" s="5"/>
      <c r="O57" s="5"/>
      <c r="P57" s="5"/>
      <c r="Q57" s="5" t="s">
        <v>969</v>
      </c>
      <c r="R57" s="433">
        <f>B59*145.04</f>
        <v>0.69619199999999992</v>
      </c>
      <c r="S57" s="170" t="s">
        <v>926</v>
      </c>
      <c r="T57" s="64" t="s">
        <v>1212</v>
      </c>
      <c r="U57" s="14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x14ac:dyDescent="0.2">
      <c r="A58" s="433" t="s">
        <v>1108</v>
      </c>
      <c r="B58" s="433">
        <f>'Design Conditions'!G22/10</f>
        <v>5.0000000000000001E-4</v>
      </c>
      <c r="C58" s="450" t="s">
        <v>925</v>
      </c>
      <c r="D58" s="366" t="s">
        <v>1109</v>
      </c>
      <c r="E58" s="433"/>
      <c r="F58" s="433"/>
      <c r="G58" s="433"/>
      <c r="H58" s="4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x14ac:dyDescent="0.2">
      <c r="A59" s="433" t="s">
        <v>969</v>
      </c>
      <c r="B59" s="433">
        <v>4.7999999999999996E-3</v>
      </c>
      <c r="C59" s="450" t="s">
        <v>925</v>
      </c>
      <c r="D59" s="366" t="s">
        <v>1213</v>
      </c>
      <c r="E59" s="450"/>
      <c r="F59" s="433"/>
      <c r="G59" s="433"/>
      <c r="H59" s="433"/>
      <c r="I59" s="64"/>
      <c r="J59" s="64"/>
      <c r="K59" s="5"/>
      <c r="L59" s="5"/>
      <c r="M59" s="5"/>
      <c r="N59" s="5"/>
      <c r="O59" s="5"/>
      <c r="P59" s="5"/>
      <c r="Q59" s="226" t="s">
        <v>1112</v>
      </c>
      <c r="R59" s="389">
        <f>B61*145.04</f>
        <v>0.73970400000000003</v>
      </c>
      <c r="S59" s="170" t="s">
        <v>926</v>
      </c>
      <c r="T59" s="64" t="s">
        <v>1113</v>
      </c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x14ac:dyDescent="0.2">
      <c r="A60" s="433"/>
      <c r="B60" s="433"/>
      <c r="C60" s="433"/>
      <c r="D60" s="433"/>
      <c r="E60" s="433"/>
      <c r="F60" s="433"/>
      <c r="G60" s="433"/>
      <c r="H60" s="4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ht="13.5" customHeight="1" thickBot="1" x14ac:dyDescent="0.25">
      <c r="A61" s="451" t="s">
        <v>1112</v>
      </c>
      <c r="B61" s="433">
        <f>+B57+B59-B58</f>
        <v>5.1000000000000004E-3</v>
      </c>
      <c r="C61" s="450" t="s">
        <v>925</v>
      </c>
      <c r="D61" s="366" t="s">
        <v>1113</v>
      </c>
      <c r="E61" s="433"/>
      <c r="F61" s="433"/>
      <c r="G61" s="433"/>
      <c r="H61" s="4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ht="17.25" customHeight="1" thickTop="1" thickBot="1" x14ac:dyDescent="0.3">
      <c r="A62" s="988"/>
      <c r="B62" s="823"/>
      <c r="C62" s="871"/>
      <c r="D62" s="934" t="str">
        <f>'Front Page'!$A$13</f>
        <v>Mechanical  Calculations</v>
      </c>
      <c r="E62" s="842"/>
      <c r="F62" s="842"/>
      <c r="G62" s="842"/>
      <c r="H62" s="859"/>
      <c r="I62" s="5"/>
      <c r="J62" s="5"/>
      <c r="K62" s="5"/>
      <c r="L62" s="5"/>
      <c r="M62" s="5"/>
      <c r="N62" s="5"/>
      <c r="O62" s="5"/>
      <c r="P62" s="5"/>
      <c r="Q62" s="988"/>
      <c r="R62" s="823"/>
      <c r="S62" s="871"/>
      <c r="T62" s="934" t="str">
        <f>'Front Page'!$A$13</f>
        <v>Mechanical  Calculations</v>
      </c>
      <c r="U62" s="842"/>
      <c r="V62" s="842"/>
      <c r="W62" s="842"/>
      <c r="X62" s="859"/>
      <c r="Y62" s="5"/>
      <c r="Z62" s="5"/>
      <c r="AA62" s="5"/>
      <c r="AB62" s="5"/>
      <c r="AC62" s="5"/>
      <c r="AD62" s="5"/>
      <c r="AE62" s="5"/>
      <c r="AF62" s="5"/>
    </row>
    <row r="63" spans="1:32" ht="16.5" customHeight="1" thickBot="1" x14ac:dyDescent="0.3">
      <c r="A63" s="825"/>
      <c r="B63" s="809"/>
      <c r="C63" s="989"/>
      <c r="D63" s="984"/>
      <c r="E63" s="831"/>
      <c r="F63" s="831"/>
      <c r="G63" s="831"/>
      <c r="H63" s="854"/>
      <c r="I63" s="5"/>
      <c r="J63" s="5"/>
      <c r="K63" s="5"/>
      <c r="L63" s="5"/>
      <c r="M63" s="5"/>
      <c r="N63" s="5"/>
      <c r="O63" s="5"/>
      <c r="P63" s="5"/>
      <c r="Q63" s="825"/>
      <c r="R63" s="809"/>
      <c r="S63" s="989"/>
      <c r="T63" s="984"/>
      <c r="U63" s="831"/>
      <c r="V63" s="831"/>
      <c r="W63" s="831"/>
      <c r="X63" s="854"/>
      <c r="Y63" s="5"/>
      <c r="Z63" s="5"/>
      <c r="AA63" s="5"/>
      <c r="AB63" s="5"/>
      <c r="AC63" s="5"/>
      <c r="AD63" s="5"/>
      <c r="AE63" s="5"/>
      <c r="AF63" s="5"/>
    </row>
    <row r="64" spans="1:32" ht="16.5" customHeight="1" thickBot="1" x14ac:dyDescent="0.3">
      <c r="A64" s="827"/>
      <c r="B64" s="828"/>
      <c r="C64" s="857"/>
      <c r="D64" s="985" t="s">
        <v>1042</v>
      </c>
      <c r="E64" s="834"/>
      <c r="F64" s="834"/>
      <c r="G64" s="834"/>
      <c r="H64" s="986"/>
      <c r="I64" s="5"/>
      <c r="J64" s="5"/>
      <c r="K64" s="5"/>
      <c r="L64" s="5"/>
      <c r="M64" s="5"/>
      <c r="N64" s="5"/>
      <c r="O64" s="5"/>
      <c r="P64" s="5"/>
      <c r="Q64" s="827"/>
      <c r="R64" s="828"/>
      <c r="S64" s="857"/>
      <c r="T64" s="985" t="s">
        <v>1042</v>
      </c>
      <c r="U64" s="834"/>
      <c r="V64" s="834"/>
      <c r="W64" s="834"/>
      <c r="X64" s="986"/>
      <c r="Y64" s="5"/>
      <c r="Z64" s="5"/>
      <c r="AA64" s="5"/>
      <c r="AB64" s="5"/>
      <c r="AC64" s="5"/>
      <c r="AD64" s="5"/>
      <c r="AE64" s="5"/>
      <c r="AF64" s="5"/>
    </row>
    <row r="65" spans="1:32" ht="16.5" customHeight="1" thickTop="1" thickBot="1" x14ac:dyDescent="0.3">
      <c r="A65" s="873"/>
      <c r="B65" s="848"/>
      <c r="C65" s="865"/>
      <c r="D65" s="385" t="str">
        <f>'Front Page'!$D$4</f>
        <v>Doc Nº</v>
      </c>
      <c r="E65" s="980"/>
      <c r="F65" s="843"/>
      <c r="G65" s="980"/>
      <c r="H65" s="843"/>
      <c r="I65" s="5"/>
      <c r="J65" s="5"/>
      <c r="K65" s="5"/>
      <c r="L65" s="5"/>
      <c r="M65" s="5"/>
      <c r="N65" s="5"/>
      <c r="O65" s="5"/>
      <c r="P65" s="5"/>
      <c r="Q65" s="873"/>
      <c r="R65" s="848"/>
      <c r="S65" s="865"/>
      <c r="T65" s="385" t="str">
        <f>'Front Page'!$D$4</f>
        <v>Doc Nº</v>
      </c>
      <c r="U65" s="980"/>
      <c r="V65" s="843"/>
      <c r="W65" s="980"/>
      <c r="X65" s="843"/>
      <c r="Y65" s="5"/>
      <c r="Z65" s="5"/>
      <c r="AA65" s="5"/>
      <c r="AB65" s="5"/>
      <c r="AC65" s="5"/>
      <c r="AD65" s="5"/>
      <c r="AE65" s="5"/>
      <c r="AF65" s="5"/>
    </row>
    <row r="66" spans="1:32" ht="15.75" customHeight="1" thickBot="1" x14ac:dyDescent="0.3">
      <c r="A66" s="860"/>
      <c r="B66" s="851"/>
      <c r="C66" s="861"/>
      <c r="D66" s="386" t="str">
        <f>'Front Page'!$D$5</f>
        <v>Project</v>
      </c>
      <c r="E66" s="899"/>
      <c r="F66" s="835"/>
      <c r="G66" s="131" t="s">
        <v>5</v>
      </c>
      <c r="H66" s="132"/>
      <c r="I66" s="5"/>
      <c r="J66" s="5"/>
      <c r="K66" s="5"/>
      <c r="L66" s="5"/>
      <c r="M66" s="5"/>
      <c r="N66" s="5"/>
      <c r="O66" s="5"/>
      <c r="P66" s="5"/>
      <c r="Q66" s="860"/>
      <c r="R66" s="851"/>
      <c r="S66" s="861"/>
      <c r="T66" s="386" t="str">
        <f>'Front Page'!$D$5</f>
        <v>Project</v>
      </c>
      <c r="U66" s="899"/>
      <c r="V66" s="835"/>
      <c r="W66" s="131" t="s">
        <v>5</v>
      </c>
      <c r="X66" s="132"/>
      <c r="Y66" s="5"/>
      <c r="Z66" s="5"/>
      <c r="AA66" s="5"/>
      <c r="AB66" s="5"/>
      <c r="AC66" s="5"/>
      <c r="AD66" s="5"/>
      <c r="AE66" s="5"/>
      <c r="AF66" s="5"/>
    </row>
    <row r="67" spans="1:32" ht="13.5" customHeight="1" thickTop="1" x14ac:dyDescent="0.2">
      <c r="A67" s="4"/>
      <c r="B67" s="4"/>
      <c r="C67" s="4"/>
      <c r="D67" s="4"/>
      <c r="E67" s="4"/>
      <c r="F67" s="4"/>
      <c r="G67" s="4"/>
      <c r="H67" s="4"/>
      <c r="I67" s="5"/>
      <c r="J67" s="5"/>
      <c r="K67" s="5"/>
      <c r="L67" s="5"/>
      <c r="M67" s="5"/>
      <c r="N67" s="5"/>
      <c r="O67" s="5"/>
      <c r="P67" s="5"/>
      <c r="Q67" s="4"/>
      <c r="R67" s="4"/>
      <c r="S67" s="4"/>
      <c r="T67" s="4"/>
      <c r="U67" s="4"/>
      <c r="V67" s="4"/>
      <c r="W67" s="4"/>
      <c r="X67" s="4"/>
      <c r="Y67" s="5"/>
      <c r="Z67" s="5"/>
      <c r="AA67" s="5"/>
      <c r="AB67" s="5"/>
      <c r="AC67" s="5"/>
      <c r="AD67" s="5"/>
      <c r="AE67" s="5"/>
      <c r="AF67" s="5"/>
    </row>
    <row r="68" spans="1:32" x14ac:dyDescent="0.2">
      <c r="A68" s="118" t="s">
        <v>1115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18" t="s">
        <v>1115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x14ac:dyDescent="0.2">
      <c r="A69" s="11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18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x14ac:dyDescent="0.2">
      <c r="A70" s="5"/>
      <c r="B70" s="5"/>
      <c r="C70" s="5"/>
      <c r="D70" s="5"/>
      <c r="E70" s="5" t="s">
        <v>1116</v>
      </c>
      <c r="F70" s="5" t="s">
        <v>1117</v>
      </c>
      <c r="G70" s="5" t="s">
        <v>895</v>
      </c>
      <c r="H70" s="5" t="s">
        <v>1118</v>
      </c>
      <c r="I70" s="5" t="s">
        <v>1119</v>
      </c>
      <c r="J70" s="5"/>
      <c r="K70" s="5"/>
      <c r="L70" s="5"/>
      <c r="M70" s="5"/>
      <c r="N70" s="5"/>
      <c r="O70" s="5"/>
      <c r="P70" s="5"/>
      <c r="Q70" s="5"/>
      <c r="R70" s="5" t="s">
        <v>1116</v>
      </c>
      <c r="S70" s="64" t="s">
        <v>1120</v>
      </c>
      <c r="T70" s="64" t="s">
        <v>1121</v>
      </c>
      <c r="U70" s="366" t="s">
        <v>1122</v>
      </c>
      <c r="V70" s="64" t="s">
        <v>1123</v>
      </c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x14ac:dyDescent="0.2">
      <c r="A71" s="226" t="s">
        <v>1124</v>
      </c>
      <c r="B71" s="453">
        <f t="shared" ref="B71:B80" si="0">I71</f>
        <v>5.7814092852401643E-3</v>
      </c>
      <c r="C71" s="14" t="s">
        <v>925</v>
      </c>
      <c r="D71" s="5"/>
      <c r="E71" s="5">
        <v>1</v>
      </c>
      <c r="F71" s="5">
        <f>B21*B28*B30/1000*9.8/1000000</f>
        <v>5.7814092852401643E-3</v>
      </c>
      <c r="G71" s="5"/>
      <c r="H71" s="5"/>
      <c r="I71" s="5">
        <f t="shared" ref="I71:I80" si="1">MAX(H71,G71+F71)</f>
        <v>5.7814092852401643E-3</v>
      </c>
      <c r="J71" s="5"/>
      <c r="K71" s="5"/>
      <c r="L71" s="5"/>
      <c r="M71" s="5"/>
      <c r="N71" s="5"/>
      <c r="O71" s="5"/>
      <c r="P71" s="5"/>
      <c r="Q71" s="226"/>
      <c r="R71" s="5">
        <v>1</v>
      </c>
      <c r="S71" s="5">
        <f t="shared" ref="S71:S83" si="2">F71*145.04</f>
        <v>0.8385356027312334</v>
      </c>
      <c r="T71" s="5">
        <f t="shared" ref="T71:T83" si="3">G71*145.04</f>
        <v>0</v>
      </c>
      <c r="U71" s="5">
        <f t="shared" ref="U71:U83" si="4">H71*145.04</f>
        <v>0</v>
      </c>
      <c r="V71" s="5">
        <f t="shared" ref="V71:V83" si="5">I71*145.04</f>
        <v>0.8385356027312334</v>
      </c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x14ac:dyDescent="0.2">
      <c r="A72" s="226" t="s">
        <v>1125</v>
      </c>
      <c r="B72" s="453">
        <f t="shared" si="0"/>
        <v>1.1430875863347851E-3</v>
      </c>
      <c r="C72" s="14" t="s">
        <v>925</v>
      </c>
      <c r="D72" s="5"/>
      <c r="E72" s="5">
        <f t="shared" ref="E72:E80" si="6">1-EXP(-($B$51-E90)/$B$30)</f>
        <v>0.19771781064749516</v>
      </c>
      <c r="F72" s="5">
        <f t="shared" ref="F72:F80" si="7">$F$71*E72</f>
        <v>1.1430875863347851E-3</v>
      </c>
      <c r="G72" s="5"/>
      <c r="H72" s="5"/>
      <c r="I72" s="5">
        <f t="shared" si="1"/>
        <v>1.1430875863347851E-3</v>
      </c>
      <c r="J72" s="5"/>
      <c r="K72" s="5"/>
      <c r="L72" s="5"/>
      <c r="M72" s="5"/>
      <c r="N72" s="5"/>
      <c r="O72" s="5"/>
      <c r="P72" s="5"/>
      <c r="Q72" s="226"/>
      <c r="R72" s="5">
        <f t="shared" ref="R72:R83" si="8">1-EXP(-($B$51-U90)/$B$30)</f>
        <v>0.2782766386863843</v>
      </c>
      <c r="S72" s="5">
        <f t="shared" si="2"/>
        <v>0.16579342352199722</v>
      </c>
      <c r="T72" s="5">
        <f t="shared" si="3"/>
        <v>0</v>
      </c>
      <c r="U72" s="5">
        <f t="shared" si="4"/>
        <v>0</v>
      </c>
      <c r="V72" s="5">
        <f t="shared" si="5"/>
        <v>0.16579342352199722</v>
      </c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x14ac:dyDescent="0.2">
      <c r="A73" s="226" t="s">
        <v>1126</v>
      </c>
      <c r="B73" s="453">
        <f t="shared" si="0"/>
        <v>6.0294824770582174E-4</v>
      </c>
      <c r="C73" s="14" t="s">
        <v>925</v>
      </c>
      <c r="D73" s="5"/>
      <c r="E73" s="5">
        <f t="shared" si="6"/>
        <v>0.10429087752793043</v>
      </c>
      <c r="F73" s="5">
        <f t="shared" si="7"/>
        <v>6.0294824770582174E-4</v>
      </c>
      <c r="G73" s="5"/>
      <c r="H73" s="5"/>
      <c r="I73" s="5">
        <f t="shared" si="1"/>
        <v>6.0294824770582174E-4</v>
      </c>
      <c r="J73" s="5"/>
      <c r="K73" s="5"/>
      <c r="L73" s="5"/>
      <c r="M73" s="5"/>
      <c r="N73" s="5"/>
      <c r="O73" s="5"/>
      <c r="P73" s="5"/>
      <c r="Q73" s="226"/>
      <c r="R73" s="5">
        <f t="shared" si="8"/>
        <v>0.27513985492326176</v>
      </c>
      <c r="S73" s="5">
        <f t="shared" si="2"/>
        <v>8.7451613847252377E-2</v>
      </c>
      <c r="T73" s="5">
        <f t="shared" si="3"/>
        <v>0</v>
      </c>
      <c r="U73" s="5">
        <f t="shared" si="4"/>
        <v>0</v>
      </c>
      <c r="V73" s="5">
        <f t="shared" si="5"/>
        <v>8.7451613847252377E-2</v>
      </c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x14ac:dyDescent="0.2">
      <c r="A74" s="226" t="s">
        <v>1127</v>
      </c>
      <c r="B74" s="453">
        <f t="shared" si="0"/>
        <v>-9.1106073747355257E-8</v>
      </c>
      <c r="C74" s="14" t="s">
        <v>925</v>
      </c>
      <c r="D74" s="5"/>
      <c r="E74" s="5">
        <f t="shared" si="6"/>
        <v>-1.575845425438871E-5</v>
      </c>
      <c r="F74" s="5">
        <f t="shared" si="7"/>
        <v>-9.1106073747355257E-8</v>
      </c>
      <c r="G74" s="5"/>
      <c r="H74" s="5"/>
      <c r="I74" s="5">
        <f t="shared" si="1"/>
        <v>-9.1106073747355257E-8</v>
      </c>
      <c r="J74" s="5"/>
      <c r="K74" s="5"/>
      <c r="L74" s="5"/>
      <c r="M74" s="5"/>
      <c r="N74" s="5"/>
      <c r="O74" s="5"/>
      <c r="P74" s="5"/>
      <c r="Q74" s="226"/>
      <c r="R74" s="5">
        <f t="shared" si="8"/>
        <v>0.27198943794150721</v>
      </c>
      <c r="S74" s="5">
        <f t="shared" si="2"/>
        <v>-1.3214024936316406E-5</v>
      </c>
      <c r="T74" s="5">
        <f t="shared" si="3"/>
        <v>0</v>
      </c>
      <c r="U74" s="5">
        <f t="shared" si="4"/>
        <v>0</v>
      </c>
      <c r="V74" s="5">
        <f t="shared" si="5"/>
        <v>-1.3214024936316406E-5</v>
      </c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x14ac:dyDescent="0.2">
      <c r="A75" s="226" t="s">
        <v>1128</v>
      </c>
      <c r="B75" s="453">
        <f t="shared" si="0"/>
        <v>-4.9802390532611843E-4</v>
      </c>
      <c r="C75" s="14" t="s">
        <v>925</v>
      </c>
      <c r="D75" s="5"/>
      <c r="E75" s="5">
        <f t="shared" si="6"/>
        <v>-8.6142302119582626E-2</v>
      </c>
      <c r="F75" s="5">
        <f t="shared" si="7"/>
        <v>-4.9802390532611843E-4</v>
      </c>
      <c r="G75" s="5"/>
      <c r="H75" s="5"/>
      <c r="I75" s="5">
        <f t="shared" si="1"/>
        <v>-4.9802390532611843E-4</v>
      </c>
      <c r="J75" s="5"/>
      <c r="K75" s="5"/>
      <c r="L75" s="5"/>
      <c r="M75" s="5"/>
      <c r="N75" s="5"/>
      <c r="O75" s="5"/>
      <c r="P75" s="5"/>
      <c r="Q75" s="226"/>
      <c r="R75" s="5">
        <f t="shared" si="8"/>
        <v>0.26961764277059941</v>
      </c>
      <c r="S75" s="5">
        <f t="shared" si="2"/>
        <v>-7.2233387228500215E-2</v>
      </c>
      <c r="T75" s="5">
        <f t="shared" si="3"/>
        <v>0</v>
      </c>
      <c r="U75" s="5">
        <f t="shared" si="4"/>
        <v>0</v>
      </c>
      <c r="V75" s="5">
        <f t="shared" si="5"/>
        <v>-7.2233387228500215E-2</v>
      </c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x14ac:dyDescent="0.2">
      <c r="A76" s="226" t="s">
        <v>1129</v>
      </c>
      <c r="B76" s="453">
        <f t="shared" si="0"/>
        <v>-4.9802390532611843E-4</v>
      </c>
      <c r="C76" s="14" t="s">
        <v>925</v>
      </c>
      <c r="D76" s="5"/>
      <c r="E76" s="5">
        <f t="shared" si="6"/>
        <v>-8.6142302119582626E-2</v>
      </c>
      <c r="F76" s="5">
        <f t="shared" si="7"/>
        <v>-4.9802390532611843E-4</v>
      </c>
      <c r="G76" s="5"/>
      <c r="H76" s="5"/>
      <c r="I76" s="5">
        <f t="shared" si="1"/>
        <v>-4.9802390532611843E-4</v>
      </c>
      <c r="J76" s="5"/>
      <c r="K76" s="5"/>
      <c r="L76" s="5"/>
      <c r="M76" s="5"/>
      <c r="N76" s="5"/>
      <c r="O76" s="5"/>
      <c r="P76" s="5"/>
      <c r="Q76" s="226"/>
      <c r="R76" s="5">
        <f t="shared" si="8"/>
        <v>0.26961764277059941</v>
      </c>
      <c r="S76" s="5">
        <f t="shared" si="2"/>
        <v>-7.2233387228500215E-2</v>
      </c>
      <c r="T76" s="5">
        <f t="shared" si="3"/>
        <v>0</v>
      </c>
      <c r="U76" s="5">
        <f t="shared" si="4"/>
        <v>0</v>
      </c>
      <c r="V76" s="5">
        <f t="shared" si="5"/>
        <v>-7.2233387228500215E-2</v>
      </c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x14ac:dyDescent="0.2">
      <c r="A77" s="226" t="s">
        <v>1130</v>
      </c>
      <c r="B77" s="453">
        <f t="shared" si="0"/>
        <v>-4.9802390532611843E-4</v>
      </c>
      <c r="C77" s="14" t="s">
        <v>925</v>
      </c>
      <c r="D77" s="5"/>
      <c r="E77" s="5">
        <f t="shared" si="6"/>
        <v>-8.6142302119582626E-2</v>
      </c>
      <c r="F77" s="5">
        <f t="shared" si="7"/>
        <v>-4.9802390532611843E-4</v>
      </c>
      <c r="G77" s="5"/>
      <c r="H77" s="5"/>
      <c r="I77" s="5">
        <f t="shared" si="1"/>
        <v>-4.9802390532611843E-4</v>
      </c>
      <c r="J77" s="5"/>
      <c r="K77" s="5"/>
      <c r="L77" s="5"/>
      <c r="M77" s="5"/>
      <c r="N77" s="5"/>
      <c r="O77" s="5"/>
      <c r="P77" s="5"/>
      <c r="Q77" s="226"/>
      <c r="R77" s="5">
        <f t="shared" si="8"/>
        <v>0.26961764277059941</v>
      </c>
      <c r="S77" s="5">
        <f t="shared" si="2"/>
        <v>-7.2233387228500215E-2</v>
      </c>
      <c r="T77" s="5">
        <f t="shared" si="3"/>
        <v>0</v>
      </c>
      <c r="U77" s="5">
        <f t="shared" si="4"/>
        <v>0</v>
      </c>
      <c r="V77" s="5">
        <f t="shared" si="5"/>
        <v>-7.2233387228500215E-2</v>
      </c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x14ac:dyDescent="0.2">
      <c r="A78" s="226" t="s">
        <v>1131</v>
      </c>
      <c r="B78" s="453">
        <f t="shared" si="0"/>
        <v>-4.9802390532611843E-4</v>
      </c>
      <c r="C78" s="14" t="s">
        <v>925</v>
      </c>
      <c r="D78" s="5"/>
      <c r="E78" s="5">
        <f t="shared" si="6"/>
        <v>-8.6142302119582626E-2</v>
      </c>
      <c r="F78" s="5">
        <f t="shared" si="7"/>
        <v>-4.9802390532611843E-4</v>
      </c>
      <c r="G78" s="5"/>
      <c r="H78" s="5"/>
      <c r="I78" s="5">
        <f t="shared" si="1"/>
        <v>-4.9802390532611843E-4</v>
      </c>
      <c r="J78" s="5"/>
      <c r="K78" s="5"/>
      <c r="L78" s="5"/>
      <c r="M78" s="5"/>
      <c r="N78" s="5"/>
      <c r="O78" s="5"/>
      <c r="P78" s="5"/>
      <c r="Q78" s="226"/>
      <c r="R78" s="5">
        <f t="shared" si="8"/>
        <v>0.26961764277059941</v>
      </c>
      <c r="S78" s="5">
        <f t="shared" si="2"/>
        <v>-7.2233387228500215E-2</v>
      </c>
      <c r="T78" s="5">
        <f t="shared" si="3"/>
        <v>0</v>
      </c>
      <c r="U78" s="5">
        <f t="shared" si="4"/>
        <v>0</v>
      </c>
      <c r="V78" s="5">
        <f t="shared" si="5"/>
        <v>-7.2233387228500215E-2</v>
      </c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x14ac:dyDescent="0.2">
      <c r="A79" s="226" t="s">
        <v>1132</v>
      </c>
      <c r="B79" s="453">
        <f t="shared" si="0"/>
        <v>-4.9802390532611843E-4</v>
      </c>
      <c r="C79" s="14" t="s">
        <v>925</v>
      </c>
      <c r="D79" s="5"/>
      <c r="E79" s="5">
        <f t="shared" si="6"/>
        <v>-8.6142302119582626E-2</v>
      </c>
      <c r="F79" s="5">
        <f t="shared" si="7"/>
        <v>-4.9802390532611843E-4</v>
      </c>
      <c r="G79" s="5"/>
      <c r="H79" s="5"/>
      <c r="I79" s="5">
        <f t="shared" si="1"/>
        <v>-4.9802390532611843E-4</v>
      </c>
      <c r="J79" s="5"/>
      <c r="K79" s="5"/>
      <c r="L79" s="5"/>
      <c r="M79" s="5"/>
      <c r="N79" s="5"/>
      <c r="O79" s="5"/>
      <c r="P79" s="5"/>
      <c r="Q79" s="226"/>
      <c r="R79" s="5">
        <f t="shared" si="8"/>
        <v>0.26961764277059941</v>
      </c>
      <c r="S79" s="5">
        <f t="shared" si="2"/>
        <v>-7.2233387228500215E-2</v>
      </c>
      <c r="T79" s="5">
        <f t="shared" si="3"/>
        <v>0</v>
      </c>
      <c r="U79" s="5">
        <f t="shared" si="4"/>
        <v>0</v>
      </c>
      <c r="V79" s="5">
        <f t="shared" si="5"/>
        <v>-7.2233387228500215E-2</v>
      </c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x14ac:dyDescent="0.2">
      <c r="A80" s="341" t="s">
        <v>1133</v>
      </c>
      <c r="B80" s="453">
        <f t="shared" si="0"/>
        <v>-4.9802390532611843E-4</v>
      </c>
      <c r="C80" s="14" t="s">
        <v>925</v>
      </c>
      <c r="D80" s="5"/>
      <c r="E80" s="5">
        <f t="shared" si="6"/>
        <v>-8.6142302119582626E-2</v>
      </c>
      <c r="F80" s="5">
        <f t="shared" si="7"/>
        <v>-4.9802390532611843E-4</v>
      </c>
      <c r="G80" s="5"/>
      <c r="H80" s="5"/>
      <c r="I80" s="5">
        <f t="shared" si="1"/>
        <v>-4.9802390532611843E-4</v>
      </c>
      <c r="J80" s="5"/>
      <c r="K80" s="5"/>
      <c r="L80" s="5"/>
      <c r="M80" s="5"/>
      <c r="N80" s="5"/>
      <c r="O80" s="5"/>
      <c r="P80" s="5"/>
      <c r="Q80" s="341"/>
      <c r="R80" s="5">
        <f t="shared" si="8"/>
        <v>0.26961764277059941</v>
      </c>
      <c r="S80" s="5">
        <f t="shared" si="2"/>
        <v>-7.2233387228500215E-2</v>
      </c>
      <c r="T80" s="5">
        <f t="shared" si="3"/>
        <v>0</v>
      </c>
      <c r="U80" s="5">
        <f t="shared" si="4"/>
        <v>0</v>
      </c>
      <c r="V80" s="5">
        <f t="shared" si="5"/>
        <v>-7.2233387228500215E-2</v>
      </c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x14ac:dyDescent="0.2">
      <c r="A81" s="341"/>
      <c r="B81" s="453"/>
      <c r="C81" s="1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341"/>
      <c r="R81" s="5">
        <f t="shared" si="8"/>
        <v>0.26961764277059941</v>
      </c>
      <c r="S81" s="5">
        <f t="shared" si="2"/>
        <v>0</v>
      </c>
      <c r="T81" s="5">
        <f t="shared" si="3"/>
        <v>0</v>
      </c>
      <c r="U81" s="5">
        <f t="shared" si="4"/>
        <v>0</v>
      </c>
      <c r="V81" s="5">
        <f t="shared" si="5"/>
        <v>0</v>
      </c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x14ac:dyDescent="0.2">
      <c r="A82" s="341"/>
      <c r="B82" s="453"/>
      <c r="C82" s="1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341"/>
      <c r="R82" s="5">
        <f t="shared" si="8"/>
        <v>0.28139984822771602</v>
      </c>
      <c r="S82" s="5">
        <f t="shared" si="2"/>
        <v>0</v>
      </c>
      <c r="T82" s="5">
        <f t="shared" si="3"/>
        <v>0</v>
      </c>
      <c r="U82" s="5">
        <f t="shared" si="4"/>
        <v>0</v>
      </c>
      <c r="V82" s="5">
        <f t="shared" si="5"/>
        <v>0</v>
      </c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x14ac:dyDescent="0.2">
      <c r="A83" s="226"/>
      <c r="B83" s="453"/>
      <c r="C83" s="1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226"/>
      <c r="R83" s="5">
        <f t="shared" si="8"/>
        <v>0.28139984822771602</v>
      </c>
      <c r="S83" s="5">
        <f t="shared" si="2"/>
        <v>0</v>
      </c>
      <c r="T83" s="5">
        <f t="shared" si="3"/>
        <v>0</v>
      </c>
      <c r="U83" s="5">
        <f t="shared" si="4"/>
        <v>0</v>
      </c>
      <c r="V83" s="5">
        <f t="shared" si="5"/>
        <v>0</v>
      </c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x14ac:dyDescent="0.2">
      <c r="A84" s="226"/>
      <c r="B84" s="453"/>
      <c r="C84" s="1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226"/>
      <c r="R84" s="454"/>
      <c r="S84" s="14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x14ac:dyDescent="0.2">
      <c r="A85" s="226"/>
      <c r="B85" s="454"/>
      <c r="C85" s="1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226"/>
      <c r="R85" s="454"/>
      <c r="S85" s="14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x14ac:dyDescent="0.2">
      <c r="A86" s="118" t="s">
        <v>358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18" t="s">
        <v>358</v>
      </c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x14ac:dyDescent="0.2">
      <c r="A88" s="5"/>
      <c r="B88" s="14"/>
      <c r="C88" s="14"/>
      <c r="D88" s="14" t="s">
        <v>362</v>
      </c>
      <c r="E88" s="218"/>
      <c r="F88" s="5"/>
      <c r="G88" s="14"/>
      <c r="H88" s="5"/>
      <c r="I88" s="5"/>
      <c r="J88" s="5"/>
      <c r="K88" s="5"/>
      <c r="L88" s="5"/>
      <c r="M88" s="5"/>
      <c r="N88" s="5"/>
      <c r="O88" s="5"/>
      <c r="P88" s="5"/>
      <c r="Q88" s="5"/>
      <c r="R88" s="14" t="s">
        <v>360</v>
      </c>
      <c r="S88" s="14" t="s">
        <v>361</v>
      </c>
      <c r="T88" s="14" t="s">
        <v>362</v>
      </c>
      <c r="U88" s="218" t="s">
        <v>363</v>
      </c>
      <c r="V88" s="5"/>
      <c r="W88" s="14" t="s">
        <v>1136</v>
      </c>
      <c r="X88" s="5"/>
      <c r="Y88" s="5"/>
      <c r="Z88" s="5"/>
      <c r="AA88" s="5"/>
      <c r="AB88" s="5"/>
      <c r="AC88" s="5"/>
      <c r="AD88" s="5"/>
      <c r="AE88" s="5"/>
      <c r="AF88" s="5"/>
    </row>
    <row r="89" spans="1:32" x14ac:dyDescent="0.2">
      <c r="A89" s="5"/>
      <c r="B89" s="14"/>
      <c r="C89" s="14"/>
      <c r="D89" s="14" t="s">
        <v>247</v>
      </c>
      <c r="E89" s="218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170" t="s">
        <v>248</v>
      </c>
      <c r="S89" s="170" t="s">
        <v>248</v>
      </c>
      <c r="T89" s="170" t="s">
        <v>248</v>
      </c>
      <c r="U89" s="111" t="s">
        <v>248</v>
      </c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x14ac:dyDescent="0.2">
      <c r="A90" s="5"/>
      <c r="B90" s="262"/>
      <c r="C90" s="263"/>
      <c r="D90" s="219">
        <f>'Inner Vessel Shell Thickness 2'!C30</f>
        <v>2000</v>
      </c>
      <c r="E90" s="219">
        <f>D90</f>
        <v>2000</v>
      </c>
      <c r="F90" s="264"/>
      <c r="G90" s="265"/>
      <c r="H90" s="5"/>
      <c r="I90" s="5"/>
      <c r="J90" s="5" t="e">
        <f t="shared" ref="J90:J99" si="9">N90/C90</f>
        <v>#DIV/0!</v>
      </c>
      <c r="K90" s="399"/>
      <c r="L90" s="5">
        <f t="shared" ref="L90:L99" si="10">C90/D90</f>
        <v>0</v>
      </c>
      <c r="M90" s="5"/>
      <c r="N90" s="260">
        <f t="shared" ref="N90:N99" si="11">$B$14*((B90/$B$14)^0.5)*(0.45+2.42*$B$15*(B90/$B$14)^2/($B$16*B71*(1-$B$19^2)^0.75))</f>
        <v>0</v>
      </c>
      <c r="O90" s="5"/>
      <c r="P90" s="5"/>
      <c r="Q90" s="5">
        <v>1</v>
      </c>
      <c r="R90" s="219">
        <f t="shared" ref="R90:R99" si="12">B90/25.4</f>
        <v>0</v>
      </c>
      <c r="S90" s="263">
        <f t="shared" ref="S90:S99" si="13">C90/25.4</f>
        <v>0</v>
      </c>
      <c r="T90" s="219">
        <f t="shared" ref="T90:T99" si="14">D90/25.4</f>
        <v>78.740157480314963</v>
      </c>
      <c r="U90" s="263">
        <f t="shared" ref="U90:U99" si="15">E90/25.4</f>
        <v>78.740157480314963</v>
      </c>
      <c r="V90" s="264" t="str">
        <f t="shared" ref="V90:V98" si="16">IF(T90&lt;S90,"OK","ERROR")</f>
        <v>ERROR</v>
      </c>
      <c r="W90" s="265">
        <f t="shared" ref="W90:W99" si="17">S90/T90</f>
        <v>0</v>
      </c>
      <c r="X90" s="5"/>
      <c r="Y90" s="5"/>
      <c r="Z90" s="5" t="e">
        <f t="shared" ref="Z90:Z100" si="18">AD90/S90</f>
        <v>#REF!</v>
      </c>
      <c r="AA90" s="399"/>
      <c r="AB90" s="5">
        <f t="shared" ref="AB90:AB100" si="19">S90/T90</f>
        <v>0</v>
      </c>
      <c r="AC90" s="5"/>
      <c r="AD90" s="260" t="e">
        <f>$B$14*((R90/$B$14)^0.5)*(0.45+2.42*$B$15*(R90/$B$14)^2/($B$16*#REF!*(1-$B$19^2)^0.75))</f>
        <v>#REF!</v>
      </c>
      <c r="AE90" s="5"/>
      <c r="AF90" s="5"/>
    </row>
    <row r="91" spans="1:32" x14ac:dyDescent="0.2">
      <c r="A91" s="5"/>
      <c r="B91" s="219"/>
      <c r="C91" s="263"/>
      <c r="D91" s="219">
        <f>'Inner Vessel Shell Thickness 2'!C31</f>
        <v>2000</v>
      </c>
      <c r="E91" s="219">
        <f t="shared" ref="E91:E99" si="20">D91+E90</f>
        <v>4000</v>
      </c>
      <c r="F91" s="264"/>
      <c r="G91" s="265"/>
      <c r="H91" s="5"/>
      <c r="I91" s="5"/>
      <c r="J91" s="5" t="e">
        <f t="shared" si="9"/>
        <v>#DIV/0!</v>
      </c>
      <c r="K91" s="399"/>
      <c r="L91" s="5">
        <f t="shared" si="10"/>
        <v>0</v>
      </c>
      <c r="M91" s="5"/>
      <c r="N91" s="260">
        <f t="shared" si="11"/>
        <v>0</v>
      </c>
      <c r="O91" s="5"/>
      <c r="P91" s="5"/>
      <c r="Q91" s="5">
        <f t="shared" ref="Q91:Q99" si="21">Q90+1</f>
        <v>2</v>
      </c>
      <c r="R91" s="219">
        <f t="shared" si="12"/>
        <v>0</v>
      </c>
      <c r="S91" s="263">
        <f t="shared" si="13"/>
        <v>0</v>
      </c>
      <c r="T91" s="219">
        <f t="shared" si="14"/>
        <v>78.740157480314963</v>
      </c>
      <c r="U91" s="263">
        <f t="shared" si="15"/>
        <v>157.48031496062993</v>
      </c>
      <c r="V91" s="264" t="str">
        <f t="shared" si="16"/>
        <v>ERROR</v>
      </c>
      <c r="W91" s="265">
        <f t="shared" si="17"/>
        <v>0</v>
      </c>
      <c r="X91" s="5"/>
      <c r="Y91" s="5"/>
      <c r="Z91" s="5" t="e">
        <f t="shared" si="18"/>
        <v>#REF!</v>
      </c>
      <c r="AA91" s="399"/>
      <c r="AB91" s="5">
        <f t="shared" si="19"/>
        <v>0</v>
      </c>
      <c r="AC91" s="5"/>
      <c r="AD91" s="260" t="e">
        <f>$B$14*((R91/$B$14)^0.5)*(0.45+2.42*$B$15*(R91/$B$14)^2/($B$16*#REF!*(1-$B$19^2)^0.75))</f>
        <v>#REF!</v>
      </c>
      <c r="AE91" s="5"/>
      <c r="AF91" s="5"/>
    </row>
    <row r="92" spans="1:32" x14ac:dyDescent="0.2">
      <c r="A92" s="5"/>
      <c r="B92" s="219"/>
      <c r="C92" s="263"/>
      <c r="D92" s="219">
        <f>'Inner Vessel Shell Thickness 2'!C32</f>
        <v>2000</v>
      </c>
      <c r="E92" s="219">
        <f t="shared" si="20"/>
        <v>6000</v>
      </c>
      <c r="F92" s="264"/>
      <c r="G92" s="265"/>
      <c r="H92" s="226"/>
      <c r="I92" s="5"/>
      <c r="J92" s="5" t="e">
        <f t="shared" si="9"/>
        <v>#DIV/0!</v>
      </c>
      <c r="K92" s="399"/>
      <c r="L92" s="5">
        <f t="shared" si="10"/>
        <v>0</v>
      </c>
      <c r="M92" s="5"/>
      <c r="N92" s="260">
        <f t="shared" si="11"/>
        <v>0</v>
      </c>
      <c r="O92" s="5"/>
      <c r="P92" s="5"/>
      <c r="Q92" s="5">
        <f t="shared" si="21"/>
        <v>3</v>
      </c>
      <c r="R92" s="219">
        <f t="shared" si="12"/>
        <v>0</v>
      </c>
      <c r="S92" s="263">
        <f t="shared" si="13"/>
        <v>0</v>
      </c>
      <c r="T92" s="219">
        <f t="shared" si="14"/>
        <v>78.740157480314963</v>
      </c>
      <c r="U92" s="263">
        <f t="shared" si="15"/>
        <v>236.22047244094489</v>
      </c>
      <c r="V92" s="264" t="str">
        <f t="shared" si="16"/>
        <v>ERROR</v>
      </c>
      <c r="W92" s="265">
        <f t="shared" si="17"/>
        <v>0</v>
      </c>
      <c r="X92" s="226"/>
      <c r="Y92" s="5"/>
      <c r="Z92" s="5" t="e">
        <f t="shared" si="18"/>
        <v>#REF!</v>
      </c>
      <c r="AA92" s="399"/>
      <c r="AB92" s="5">
        <f t="shared" si="19"/>
        <v>0</v>
      </c>
      <c r="AC92" s="5"/>
      <c r="AD92" s="260" t="e">
        <f>$B$14*((R92/$B$14)^0.5)*(0.45+2.42*$B$15*(R92/$B$14)^2/($B$16*#REF!*(1-$B$19^2)^0.75))</f>
        <v>#REF!</v>
      </c>
      <c r="AE92" s="5"/>
      <c r="AF92" s="5"/>
    </row>
    <row r="93" spans="1:32" x14ac:dyDescent="0.2">
      <c r="A93" s="5"/>
      <c r="B93" s="219"/>
      <c r="C93" s="263"/>
      <c r="D93" s="219">
        <f>'Inner Vessel Shell Thickness 2'!C33</f>
        <v>1500</v>
      </c>
      <c r="E93" s="219">
        <f t="shared" si="20"/>
        <v>7500</v>
      </c>
      <c r="F93" s="264"/>
      <c r="G93" s="265"/>
      <c r="H93" s="226"/>
      <c r="I93" s="5"/>
      <c r="J93" s="5" t="e">
        <f t="shared" si="9"/>
        <v>#DIV/0!</v>
      </c>
      <c r="K93" s="399"/>
      <c r="L93" s="5">
        <f t="shared" si="10"/>
        <v>0</v>
      </c>
      <c r="M93" s="5"/>
      <c r="N93" s="260">
        <f t="shared" si="11"/>
        <v>0</v>
      </c>
      <c r="O93" s="5"/>
      <c r="P93" s="5"/>
      <c r="Q93" s="5">
        <f t="shared" si="21"/>
        <v>4</v>
      </c>
      <c r="R93" s="219">
        <f t="shared" si="12"/>
        <v>0</v>
      </c>
      <c r="S93" s="263">
        <f t="shared" si="13"/>
        <v>0</v>
      </c>
      <c r="T93" s="219">
        <f t="shared" si="14"/>
        <v>59.055118110236222</v>
      </c>
      <c r="U93" s="263">
        <f t="shared" si="15"/>
        <v>295.2755905511811</v>
      </c>
      <c r="V93" s="264" t="str">
        <f t="shared" si="16"/>
        <v>ERROR</v>
      </c>
      <c r="W93" s="265">
        <f t="shared" si="17"/>
        <v>0</v>
      </c>
      <c r="X93" s="226"/>
      <c r="Y93" s="5"/>
      <c r="Z93" s="5" t="e">
        <f t="shared" si="18"/>
        <v>#REF!</v>
      </c>
      <c r="AA93" s="399"/>
      <c r="AB93" s="5">
        <f t="shared" si="19"/>
        <v>0</v>
      </c>
      <c r="AC93" s="5"/>
      <c r="AD93" s="260" t="e">
        <f>$B$14*((R93/$B$14)^0.5)*(0.45+2.42*$B$15*(R93/$B$14)^2/($B$16*#REF!*(1-$B$19^2)^0.75))</f>
        <v>#REF!</v>
      </c>
      <c r="AE93" s="5"/>
      <c r="AF93" s="5"/>
    </row>
    <row r="94" spans="1:32" x14ac:dyDescent="0.2">
      <c r="A94" s="5"/>
      <c r="B94" s="219"/>
      <c r="C94" s="263"/>
      <c r="D94" s="219">
        <f>'Inner Vessel Shell Thickness 2'!C34</f>
        <v>0</v>
      </c>
      <c r="E94" s="219">
        <f t="shared" si="20"/>
        <v>7500</v>
      </c>
      <c r="F94" s="264"/>
      <c r="G94" s="265"/>
      <c r="H94" s="226"/>
      <c r="I94" s="5"/>
      <c r="J94" s="5" t="e">
        <f t="shared" si="9"/>
        <v>#DIV/0!</v>
      </c>
      <c r="K94" s="399"/>
      <c r="L94" s="5" t="e">
        <f t="shared" si="10"/>
        <v>#DIV/0!</v>
      </c>
      <c r="M94" s="5"/>
      <c r="N94" s="260">
        <f t="shared" si="11"/>
        <v>0</v>
      </c>
      <c r="O94" s="5"/>
      <c r="P94" s="5"/>
      <c r="Q94" s="5">
        <f t="shared" si="21"/>
        <v>5</v>
      </c>
      <c r="R94" s="219">
        <f t="shared" si="12"/>
        <v>0</v>
      </c>
      <c r="S94" s="263">
        <f t="shared" si="13"/>
        <v>0</v>
      </c>
      <c r="T94" s="219">
        <f t="shared" si="14"/>
        <v>0</v>
      </c>
      <c r="U94" s="263">
        <f t="shared" si="15"/>
        <v>295.2755905511811</v>
      </c>
      <c r="V94" s="264" t="str">
        <f t="shared" si="16"/>
        <v>ERROR</v>
      </c>
      <c r="W94" s="265" t="e">
        <f t="shared" si="17"/>
        <v>#DIV/0!</v>
      </c>
      <c r="X94" s="226"/>
      <c r="Y94" s="5"/>
      <c r="Z94" s="5" t="e">
        <f t="shared" si="18"/>
        <v>#REF!</v>
      </c>
      <c r="AA94" s="399"/>
      <c r="AB94" s="5" t="e">
        <f t="shared" si="19"/>
        <v>#DIV/0!</v>
      </c>
      <c r="AC94" s="5"/>
      <c r="AD94" s="260" t="e">
        <f>$B$14*((R94/$B$14)^0.5)*(0.45+2.42*$B$15*(R94/$B$14)^2/($B$16*#REF!*(1-$B$19^2)^0.75))</f>
        <v>#REF!</v>
      </c>
      <c r="AE94" s="5"/>
      <c r="AF94" s="5"/>
    </row>
    <row r="95" spans="1:32" x14ac:dyDescent="0.2">
      <c r="A95" s="5"/>
      <c r="B95" s="219"/>
      <c r="C95" s="263"/>
      <c r="D95" s="219">
        <f>'Inner Vessel Shell Thickness 2'!C35</f>
        <v>0</v>
      </c>
      <c r="E95" s="219">
        <f t="shared" si="20"/>
        <v>7500</v>
      </c>
      <c r="F95" s="264"/>
      <c r="G95" s="265"/>
      <c r="H95" s="226"/>
      <c r="I95" s="5"/>
      <c r="J95" s="5" t="e">
        <f t="shared" si="9"/>
        <v>#DIV/0!</v>
      </c>
      <c r="K95" s="399"/>
      <c r="L95" s="5" t="e">
        <f t="shared" si="10"/>
        <v>#DIV/0!</v>
      </c>
      <c r="M95" s="5"/>
      <c r="N95" s="260">
        <f t="shared" si="11"/>
        <v>0</v>
      </c>
      <c r="O95" s="5"/>
      <c r="P95" s="5"/>
      <c r="Q95" s="5">
        <f t="shared" si="21"/>
        <v>6</v>
      </c>
      <c r="R95" s="219">
        <f t="shared" si="12"/>
        <v>0</v>
      </c>
      <c r="S95" s="263">
        <f t="shared" si="13"/>
        <v>0</v>
      </c>
      <c r="T95" s="219">
        <f t="shared" si="14"/>
        <v>0</v>
      </c>
      <c r="U95" s="263">
        <f t="shared" si="15"/>
        <v>295.2755905511811</v>
      </c>
      <c r="V95" s="264" t="str">
        <f t="shared" si="16"/>
        <v>ERROR</v>
      </c>
      <c r="W95" s="265" t="e">
        <f t="shared" si="17"/>
        <v>#DIV/0!</v>
      </c>
      <c r="X95" s="226"/>
      <c r="Y95" s="5"/>
      <c r="Z95" s="5" t="e">
        <f t="shared" si="18"/>
        <v>#REF!</v>
      </c>
      <c r="AA95" s="399"/>
      <c r="AB95" s="5" t="e">
        <f t="shared" si="19"/>
        <v>#DIV/0!</v>
      </c>
      <c r="AC95" s="5"/>
      <c r="AD95" s="260" t="e">
        <f>$B$14*((R95/$B$14)^0.5)*(0.45+2.42*$B$15*(R95/$B$14)^2/($B$16*#REF!*(1-$B$19^2)^0.75))</f>
        <v>#REF!</v>
      </c>
      <c r="AE95" s="5"/>
      <c r="AF95" s="5"/>
    </row>
    <row r="96" spans="1:32" x14ac:dyDescent="0.2">
      <c r="A96" s="5"/>
      <c r="B96" s="219"/>
      <c r="C96" s="263"/>
      <c r="D96" s="219">
        <f>'Inner Vessel Shell Thickness 2'!C36</f>
        <v>0</v>
      </c>
      <c r="E96" s="219">
        <f t="shared" si="20"/>
        <v>7500</v>
      </c>
      <c r="F96" s="264"/>
      <c r="G96" s="265"/>
      <c r="H96" s="226"/>
      <c r="I96" s="5"/>
      <c r="J96" s="5" t="e">
        <f t="shared" si="9"/>
        <v>#DIV/0!</v>
      </c>
      <c r="K96" s="399"/>
      <c r="L96" s="5" t="e">
        <f t="shared" si="10"/>
        <v>#DIV/0!</v>
      </c>
      <c r="M96" s="5"/>
      <c r="N96" s="260">
        <f t="shared" si="11"/>
        <v>0</v>
      </c>
      <c r="O96" s="5"/>
      <c r="P96" s="5"/>
      <c r="Q96" s="5">
        <f t="shared" si="21"/>
        <v>7</v>
      </c>
      <c r="R96" s="219">
        <f t="shared" si="12"/>
        <v>0</v>
      </c>
      <c r="S96" s="263">
        <f t="shared" si="13"/>
        <v>0</v>
      </c>
      <c r="T96" s="219">
        <f t="shared" si="14"/>
        <v>0</v>
      </c>
      <c r="U96" s="263">
        <f t="shared" si="15"/>
        <v>295.2755905511811</v>
      </c>
      <c r="V96" s="264" t="str">
        <f t="shared" si="16"/>
        <v>ERROR</v>
      </c>
      <c r="W96" s="265" t="e">
        <f t="shared" si="17"/>
        <v>#DIV/0!</v>
      </c>
      <c r="X96" s="226"/>
      <c r="Y96" s="5"/>
      <c r="Z96" s="5" t="e">
        <f t="shared" si="18"/>
        <v>#REF!</v>
      </c>
      <c r="AA96" s="399"/>
      <c r="AB96" s="5" t="e">
        <f t="shared" si="19"/>
        <v>#DIV/0!</v>
      </c>
      <c r="AC96" s="5"/>
      <c r="AD96" s="260" t="e">
        <f>$B$14*((R96/$B$14)^0.5)*(0.45+2.42*$B$15*(R96/$B$14)^2/($B$16*#REF!*(1-$B$19^2)^0.75))</f>
        <v>#REF!</v>
      </c>
      <c r="AE96" s="5"/>
      <c r="AF96" s="5"/>
    </row>
    <row r="97" spans="1:32" x14ac:dyDescent="0.2">
      <c r="A97" s="5"/>
      <c r="B97" s="219"/>
      <c r="C97" s="263"/>
      <c r="D97" s="219">
        <f>'Inner Vessel Shell Thickness 2'!C37</f>
        <v>0</v>
      </c>
      <c r="E97" s="219">
        <f t="shared" si="20"/>
        <v>7500</v>
      </c>
      <c r="F97" s="264"/>
      <c r="G97" s="265"/>
      <c r="H97" s="226"/>
      <c r="I97" s="5"/>
      <c r="J97" s="5" t="e">
        <f t="shared" si="9"/>
        <v>#DIV/0!</v>
      </c>
      <c r="K97" s="399"/>
      <c r="L97" s="5" t="e">
        <f t="shared" si="10"/>
        <v>#DIV/0!</v>
      </c>
      <c r="M97" s="5"/>
      <c r="N97" s="260">
        <f t="shared" si="11"/>
        <v>0</v>
      </c>
      <c r="O97" s="5"/>
      <c r="P97" s="5"/>
      <c r="Q97" s="5">
        <f t="shared" si="21"/>
        <v>8</v>
      </c>
      <c r="R97" s="219">
        <f t="shared" si="12"/>
        <v>0</v>
      </c>
      <c r="S97" s="263">
        <f t="shared" si="13"/>
        <v>0</v>
      </c>
      <c r="T97" s="219">
        <f t="shared" si="14"/>
        <v>0</v>
      </c>
      <c r="U97" s="263">
        <f t="shared" si="15"/>
        <v>295.2755905511811</v>
      </c>
      <c r="V97" s="264" t="str">
        <f t="shared" si="16"/>
        <v>ERROR</v>
      </c>
      <c r="W97" s="265" t="e">
        <f t="shared" si="17"/>
        <v>#DIV/0!</v>
      </c>
      <c r="X97" s="226"/>
      <c r="Y97" s="5"/>
      <c r="Z97" s="5" t="e">
        <f t="shared" si="18"/>
        <v>#REF!</v>
      </c>
      <c r="AA97" s="399"/>
      <c r="AB97" s="5" t="e">
        <f t="shared" si="19"/>
        <v>#DIV/0!</v>
      </c>
      <c r="AC97" s="5"/>
      <c r="AD97" s="260" t="e">
        <f>$B$14*((R97/$B$14)^0.5)*(0.45+2.42*$B$15*(R97/$B$14)^2/($B$16*#REF!*(1-$B$19^2)^0.75))</f>
        <v>#REF!</v>
      </c>
      <c r="AE97" s="5"/>
      <c r="AF97" s="5"/>
    </row>
    <row r="98" spans="1:32" x14ac:dyDescent="0.2">
      <c r="A98" s="5"/>
      <c r="B98" s="219"/>
      <c r="C98" s="263"/>
      <c r="D98" s="219">
        <f>'Inner Vessel Shell Thickness 2'!C38</f>
        <v>0</v>
      </c>
      <c r="E98" s="219">
        <f t="shared" si="20"/>
        <v>7500</v>
      </c>
      <c r="F98" s="264"/>
      <c r="G98" s="265"/>
      <c r="H98" s="226"/>
      <c r="I98" s="5"/>
      <c r="J98" s="5" t="e">
        <f t="shared" si="9"/>
        <v>#DIV/0!</v>
      </c>
      <c r="K98" s="399"/>
      <c r="L98" s="5" t="e">
        <f t="shared" si="10"/>
        <v>#DIV/0!</v>
      </c>
      <c r="M98" s="5"/>
      <c r="N98" s="260">
        <f t="shared" si="11"/>
        <v>0</v>
      </c>
      <c r="O98" s="5"/>
      <c r="P98" s="5"/>
      <c r="Q98" s="5">
        <f t="shared" si="21"/>
        <v>9</v>
      </c>
      <c r="R98" s="219">
        <f t="shared" si="12"/>
        <v>0</v>
      </c>
      <c r="S98" s="263">
        <f t="shared" si="13"/>
        <v>0</v>
      </c>
      <c r="T98" s="219">
        <f t="shared" si="14"/>
        <v>0</v>
      </c>
      <c r="U98" s="263">
        <f t="shared" si="15"/>
        <v>295.2755905511811</v>
      </c>
      <c r="V98" s="264" t="str">
        <f t="shared" si="16"/>
        <v>ERROR</v>
      </c>
      <c r="W98" s="265" t="e">
        <f t="shared" si="17"/>
        <v>#DIV/0!</v>
      </c>
      <c r="X98" s="226"/>
      <c r="Y98" s="5"/>
      <c r="Z98" s="5" t="e">
        <f t="shared" si="18"/>
        <v>#REF!</v>
      </c>
      <c r="AA98" s="399"/>
      <c r="AB98" s="5" t="e">
        <f t="shared" si="19"/>
        <v>#DIV/0!</v>
      </c>
      <c r="AC98" s="5"/>
      <c r="AD98" s="260" t="e">
        <f>$B$14*((R98/$B$14)^0.5)*(0.45+2.42*$B$15*(R98/$B$14)^2/($B$16*#REF!*(1-$B$19^2)^0.75))</f>
        <v>#REF!</v>
      </c>
      <c r="AE98" s="5"/>
      <c r="AF98" s="5"/>
    </row>
    <row r="99" spans="1:32" x14ac:dyDescent="0.2">
      <c r="A99" s="5"/>
      <c r="B99" s="219"/>
      <c r="C99" s="263"/>
      <c r="D99" s="219">
        <f>'Inner Vessel Shell Thickness 2'!C39</f>
        <v>0</v>
      </c>
      <c r="E99" s="219">
        <f t="shared" si="20"/>
        <v>7500</v>
      </c>
      <c r="F99" s="264"/>
      <c r="G99" s="265"/>
      <c r="H99" s="226"/>
      <c r="I99" s="5"/>
      <c r="J99" s="5" t="e">
        <f t="shared" si="9"/>
        <v>#DIV/0!</v>
      </c>
      <c r="K99" s="399"/>
      <c r="L99" s="5" t="e">
        <f t="shared" si="10"/>
        <v>#DIV/0!</v>
      </c>
      <c r="M99" s="5"/>
      <c r="N99" s="260">
        <f t="shared" si="11"/>
        <v>0</v>
      </c>
      <c r="O99" s="5"/>
      <c r="P99" s="5"/>
      <c r="Q99" s="5">
        <f t="shared" si="21"/>
        <v>10</v>
      </c>
      <c r="R99" s="219">
        <f t="shared" si="12"/>
        <v>0</v>
      </c>
      <c r="S99" s="263">
        <f t="shared" si="13"/>
        <v>0</v>
      </c>
      <c r="T99" s="219">
        <f t="shared" si="14"/>
        <v>0</v>
      </c>
      <c r="U99" s="263">
        <f t="shared" si="15"/>
        <v>295.2755905511811</v>
      </c>
      <c r="V99" s="264"/>
      <c r="W99" s="265" t="e">
        <f t="shared" si="17"/>
        <v>#DIV/0!</v>
      </c>
      <c r="X99" s="226"/>
      <c r="Y99" s="5"/>
      <c r="Z99" s="5" t="e">
        <f t="shared" si="18"/>
        <v>#REF!</v>
      </c>
      <c r="AA99" s="399"/>
      <c r="AB99" s="5" t="e">
        <f t="shared" si="19"/>
        <v>#DIV/0!</v>
      </c>
      <c r="AC99" s="5"/>
      <c r="AD99" s="260" t="e">
        <f>$B$14*((R99/$B$14)^0.5)*(0.45+2.42*$B$15*(R99/$B$14)^2/($B$16*#REF!*(1-$B$19^2)^0.75))</f>
        <v>#REF!</v>
      </c>
      <c r="AE99" s="5"/>
      <c r="AF99" s="5"/>
    </row>
    <row r="100" spans="1:32" x14ac:dyDescent="0.2">
      <c r="A100" s="5"/>
      <c r="B100" s="14"/>
      <c r="C100" s="263"/>
      <c r="D100" s="14"/>
      <c r="E100" s="14"/>
      <c r="F100" s="14"/>
      <c r="G100" s="265"/>
      <c r="H100" s="226"/>
      <c r="I100" s="5"/>
      <c r="J100" s="5"/>
      <c r="K100" s="14"/>
      <c r="L100" s="5"/>
      <c r="M100" s="5"/>
      <c r="N100" s="260"/>
      <c r="O100" s="5"/>
      <c r="P100" s="5"/>
      <c r="Q100" s="5"/>
      <c r="R100" s="14"/>
      <c r="S100" s="263"/>
      <c r="T100" s="14"/>
      <c r="U100" s="263"/>
      <c r="V100" s="14"/>
      <c r="W100" s="265"/>
      <c r="X100" s="226"/>
      <c r="Y100" s="5"/>
      <c r="Z100" s="5" t="e">
        <f t="shared" si="18"/>
        <v>#REF!</v>
      </c>
      <c r="AA100" s="399"/>
      <c r="AB100" s="5" t="e">
        <f t="shared" si="19"/>
        <v>#DIV/0!</v>
      </c>
      <c r="AC100" s="5"/>
      <c r="AD100" s="260" t="e">
        <f>$B$14*((R100/$B$14)^0.5)*(0.45+2.42*$B$15*(R100/$B$14)^2/($B$16*#REF!*(1-$B$19^2)^0.75))</f>
        <v>#REF!</v>
      </c>
      <c r="AE100" s="5"/>
      <c r="AF100" s="5"/>
    </row>
    <row r="101" spans="1:32" x14ac:dyDescent="0.2">
      <c r="A101" s="5"/>
      <c r="B101" s="14"/>
      <c r="C101" s="263"/>
      <c r="D101" s="14"/>
      <c r="E101" s="14"/>
      <c r="F101" s="14"/>
      <c r="G101" s="265"/>
      <c r="H101" s="226"/>
      <c r="I101" s="5"/>
      <c r="J101" s="5"/>
      <c r="K101" s="14"/>
      <c r="L101" s="5"/>
      <c r="M101" s="5"/>
      <c r="N101" s="260"/>
      <c r="O101" s="5"/>
      <c r="P101" s="5"/>
      <c r="Q101" s="5"/>
      <c r="R101" s="14"/>
      <c r="S101" s="263"/>
      <c r="T101" s="14"/>
      <c r="U101" s="263"/>
      <c r="V101" s="14"/>
      <c r="W101" s="265"/>
      <c r="X101" s="226"/>
      <c r="Y101" s="5"/>
      <c r="Z101" s="5"/>
      <c r="AA101" s="399"/>
      <c r="AB101" s="5"/>
      <c r="AC101" s="5"/>
      <c r="AD101" s="260"/>
      <c r="AE101" s="5"/>
      <c r="AF101" s="5"/>
    </row>
    <row r="102" spans="1:32" x14ac:dyDescent="0.2">
      <c r="A102" s="5"/>
      <c r="B102" s="14"/>
      <c r="C102" s="263"/>
      <c r="D102" s="14"/>
      <c r="E102" s="457">
        <f>'Main Dimensions Calcs'!D50</f>
        <v>7200</v>
      </c>
      <c r="F102" s="14"/>
      <c r="G102" s="265"/>
      <c r="H102" s="226"/>
      <c r="I102" s="5"/>
      <c r="J102" s="5"/>
      <c r="K102" s="14"/>
      <c r="L102" s="5"/>
      <c r="M102" s="5"/>
      <c r="N102" s="260"/>
      <c r="O102" s="5"/>
      <c r="P102" s="5"/>
      <c r="Q102" s="5"/>
      <c r="R102" s="14"/>
      <c r="S102" s="263"/>
      <c r="T102" s="14"/>
      <c r="U102" s="263"/>
      <c r="V102" s="14"/>
      <c r="W102" s="265"/>
      <c r="X102" s="226"/>
      <c r="Y102" s="5"/>
      <c r="Z102" s="5"/>
      <c r="AA102" s="399"/>
      <c r="AB102" s="5"/>
      <c r="AC102" s="5"/>
      <c r="AD102" s="260"/>
      <c r="AE102" s="5"/>
      <c r="AF102" s="5"/>
    </row>
    <row r="103" spans="1:32" x14ac:dyDescent="0.2">
      <c r="A103" s="5"/>
      <c r="B103" s="14"/>
      <c r="C103" s="263"/>
      <c r="D103" s="14"/>
      <c r="E103" s="14"/>
      <c r="F103" s="14"/>
      <c r="G103" s="265"/>
      <c r="H103" s="226"/>
      <c r="I103" s="5"/>
      <c r="J103" s="5"/>
      <c r="K103" s="14"/>
      <c r="L103" s="5"/>
      <c r="M103" s="5"/>
      <c r="N103" s="260"/>
      <c r="O103" s="5"/>
      <c r="P103" s="5"/>
      <c r="Q103" s="5"/>
      <c r="R103" s="14"/>
      <c r="S103" s="263"/>
      <c r="T103" s="14"/>
      <c r="U103" s="263"/>
      <c r="V103" s="14"/>
      <c r="W103" s="265"/>
      <c r="X103" s="226"/>
      <c r="Y103" s="5"/>
      <c r="Z103" s="5" t="e">
        <f>AD103/S103</f>
        <v>#REF!</v>
      </c>
      <c r="AA103" s="399"/>
      <c r="AB103" s="5" t="e">
        <f>S103/T103</f>
        <v>#DIV/0!</v>
      </c>
      <c r="AC103" s="5"/>
      <c r="AD103" s="260" t="e">
        <f>$B$14*((R103/$B$14)^0.5)*(0.45+2.42*$B$15*(R103/$B$14)^2/($B$16*#REF!*(1-$B$19^2)^0.75))</f>
        <v>#REF!</v>
      </c>
      <c r="AE103" s="5"/>
      <c r="AF103" s="5"/>
    </row>
    <row r="104" spans="1:32" x14ac:dyDescent="0.2">
      <c r="A104" s="5"/>
      <c r="B104" s="14"/>
      <c r="C104" s="263"/>
      <c r="D104" s="14"/>
      <c r="E104" s="14"/>
      <c r="F104" s="14"/>
      <c r="G104" s="265"/>
      <c r="H104" s="226"/>
      <c r="I104" s="5"/>
      <c r="J104" s="5"/>
      <c r="K104" s="5"/>
      <c r="L104" s="5"/>
      <c r="M104" s="5"/>
      <c r="N104" s="260"/>
      <c r="O104" s="5"/>
      <c r="P104" s="5"/>
      <c r="Q104" s="5"/>
      <c r="R104" s="14" t="s">
        <v>1140</v>
      </c>
      <c r="S104" s="263"/>
      <c r="T104" s="14"/>
      <c r="U104" s="14"/>
      <c r="V104" s="14"/>
      <c r="W104" s="265"/>
      <c r="X104" s="226"/>
      <c r="Y104" s="5"/>
      <c r="Z104" s="5" t="e">
        <f>AD104/S104</f>
        <v>#VALUE!</v>
      </c>
      <c r="AA104" s="5"/>
      <c r="AB104" s="5" t="e">
        <f>S104/T104</f>
        <v>#DIV/0!</v>
      </c>
      <c r="AC104" s="5"/>
      <c r="AD104" s="260" t="e">
        <f>$B$14*((R104/$B$14)^0.5)*(0.45+2.42*$B$15*(R104/$B$14)^2/($B$16*#REF!*(1-$B$19^2)^0.75))</f>
        <v>#VALUE!</v>
      </c>
      <c r="AE104" s="5"/>
      <c r="AF104" s="5"/>
    </row>
    <row r="105" spans="1:32" x14ac:dyDescent="0.2">
      <c r="A105" s="5"/>
      <c r="B105" s="14"/>
      <c r="C105" s="263"/>
      <c r="D105" s="14"/>
      <c r="E105" s="5"/>
      <c r="F105" s="14"/>
      <c r="G105" s="265"/>
      <c r="H105" s="226"/>
      <c r="I105" s="5"/>
      <c r="J105" s="5"/>
      <c r="K105" s="5"/>
      <c r="L105" s="5"/>
      <c r="M105" s="5"/>
      <c r="N105" s="260"/>
      <c r="O105" s="5"/>
      <c r="P105" s="5"/>
      <c r="Q105" s="5"/>
      <c r="R105" s="14"/>
      <c r="S105" s="263"/>
      <c r="T105" s="14"/>
      <c r="U105" s="226">
        <f>E102</f>
        <v>7200</v>
      </c>
      <c r="V105" s="14"/>
      <c r="W105" s="265"/>
      <c r="X105" s="226"/>
      <c r="Y105" s="5"/>
      <c r="Z105" s="5" t="e">
        <f>S108/S105</f>
        <v>#DIV/0!</v>
      </c>
      <c r="AA105" s="5"/>
      <c r="AB105" s="5" t="e">
        <f>S105/T108</f>
        <v>#DIV/0!</v>
      </c>
      <c r="AC105" s="5"/>
      <c r="AD105" s="260" t="e">
        <f>$B$14*((R105/$B$14)^0.5)*(0.45+2.42*$B$15*(R105/$B$14)^2/($B$16*R85*(1-$B$19^2)^0.75))</f>
        <v>#DIV/0!</v>
      </c>
      <c r="AE105" s="5"/>
      <c r="AF105" s="5"/>
    </row>
    <row r="106" spans="1:32" ht="12.75" customHeight="1" x14ac:dyDescent="0.2">
      <c r="A106" s="28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285"/>
      <c r="R106" s="5"/>
      <c r="S106" s="5"/>
      <c r="T106" s="5"/>
      <c r="U106" s="5"/>
      <c r="V106" s="5"/>
      <c r="W106" s="5"/>
      <c r="X106" s="5"/>
      <c r="Y106" s="5"/>
      <c r="Z106" s="5" t="e">
        <f>S106/Y106</f>
        <v>#DIV/0!</v>
      </c>
      <c r="AA106" s="5"/>
      <c r="AB106" s="5" t="e">
        <f>Y106/T109</f>
        <v>#DIV/0!</v>
      </c>
      <c r="AC106" s="5"/>
      <c r="AD106" s="5"/>
      <c r="AE106" s="5"/>
      <c r="AF106" s="5"/>
    </row>
    <row r="107" spans="1:32" ht="12.75" customHeight="1" x14ac:dyDescent="0.2">
      <c r="A107" s="5" t="s">
        <v>360</v>
      </c>
      <c r="B107" s="64" t="s">
        <v>1141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 t="s">
        <v>360</v>
      </c>
      <c r="R107" s="64" t="s">
        <v>1141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 ht="12.75" customHeight="1" x14ac:dyDescent="0.2">
      <c r="A108" s="5" t="s">
        <v>196</v>
      </c>
      <c r="B108" s="64" t="s">
        <v>1142</v>
      </c>
      <c r="C108" s="5"/>
      <c r="D108" s="5"/>
      <c r="E108" s="5"/>
      <c r="F108" s="5"/>
      <c r="G108" s="5"/>
      <c r="H108" s="5"/>
      <c r="I108" s="226"/>
      <c r="J108" s="5"/>
      <c r="K108" s="5"/>
      <c r="L108" s="5"/>
      <c r="M108" s="5"/>
      <c r="N108" s="5"/>
      <c r="O108" s="5"/>
      <c r="P108" s="5"/>
      <c r="Q108" s="5" t="s">
        <v>196</v>
      </c>
      <c r="R108" s="64" t="s">
        <v>1142</v>
      </c>
      <c r="S108" s="5"/>
      <c r="T108" s="5"/>
      <c r="U108" s="5"/>
      <c r="V108" s="5"/>
      <c r="W108" s="5"/>
      <c r="X108" s="5"/>
      <c r="Y108" s="226"/>
      <c r="Z108" s="5"/>
      <c r="AA108" s="5"/>
      <c r="AB108" s="5"/>
      <c r="AC108" s="5"/>
      <c r="AD108" s="5"/>
      <c r="AE108" s="5"/>
      <c r="AF108" s="5"/>
    </row>
    <row r="109" spans="1:32" ht="12.75" customHeight="1" x14ac:dyDescent="0.2">
      <c r="A109" s="5" t="s">
        <v>1143</v>
      </c>
      <c r="B109" s="900" t="s">
        <v>1144</v>
      </c>
      <c r="C109" s="809"/>
      <c r="D109" s="809"/>
      <c r="E109" s="809"/>
      <c r="F109" s="809"/>
      <c r="G109" s="809"/>
      <c r="H109" s="460"/>
      <c r="I109" s="226"/>
      <c r="J109" s="5"/>
      <c r="K109" s="5"/>
      <c r="L109" s="5"/>
      <c r="M109" s="5"/>
      <c r="N109" s="5"/>
      <c r="O109" s="5"/>
      <c r="P109" s="5"/>
      <c r="Q109" s="5" t="s">
        <v>1143</v>
      </c>
      <c r="R109" s="900" t="s">
        <v>1144</v>
      </c>
      <c r="S109" s="809"/>
      <c r="T109" s="809"/>
      <c r="U109" s="809"/>
      <c r="V109" s="809"/>
      <c r="W109" s="809"/>
      <c r="X109" s="460"/>
      <c r="Y109" s="226"/>
      <c r="Z109" s="5"/>
      <c r="AA109" s="5"/>
      <c r="AB109" s="5"/>
      <c r="AC109" s="5"/>
      <c r="AD109" s="5"/>
      <c r="AE109" s="5"/>
      <c r="AF109" s="5"/>
    </row>
    <row r="110" spans="1:32" ht="12.75" customHeight="1" x14ac:dyDescent="0.2">
      <c r="A110" s="5" t="s">
        <v>361</v>
      </c>
      <c r="B110" s="64" t="s">
        <v>1145</v>
      </c>
      <c r="C110" s="5"/>
      <c r="D110" s="5"/>
      <c r="E110" s="460"/>
      <c r="F110" s="460"/>
      <c r="G110" s="460"/>
      <c r="H110" s="460"/>
      <c r="I110" s="226"/>
      <c r="J110" s="5"/>
      <c r="K110" s="5"/>
      <c r="L110" s="5"/>
      <c r="M110" s="5"/>
      <c r="N110" s="5"/>
      <c r="O110" s="5"/>
      <c r="P110" s="5"/>
      <c r="Q110" s="5" t="s">
        <v>361</v>
      </c>
      <c r="R110" s="64" t="s">
        <v>1145</v>
      </c>
      <c r="S110" s="5"/>
      <c r="T110" s="5"/>
      <c r="U110" s="460"/>
      <c r="V110" s="460"/>
      <c r="W110" s="460"/>
      <c r="X110" s="460"/>
      <c r="Y110" s="226"/>
      <c r="Z110" s="5"/>
      <c r="AA110" s="5"/>
      <c r="AB110" s="5"/>
      <c r="AC110" s="5"/>
      <c r="AD110" s="5"/>
      <c r="AE110" s="5"/>
      <c r="AF110" s="5"/>
    </row>
    <row r="111" spans="1:32" ht="15.75" customHeight="1" x14ac:dyDescent="0.2">
      <c r="A111" s="5" t="s">
        <v>362</v>
      </c>
      <c r="B111" s="64" t="s">
        <v>1146</v>
      </c>
      <c r="C111" s="5"/>
      <c r="D111" s="5"/>
      <c r="E111" s="5"/>
      <c r="F111" s="5"/>
      <c r="G111" s="5"/>
      <c r="H111" s="5"/>
      <c r="I111" s="226"/>
      <c r="J111" s="5"/>
      <c r="K111" s="5"/>
      <c r="L111" s="5"/>
      <c r="M111" s="5"/>
      <c r="N111" s="5"/>
      <c r="O111" s="5"/>
      <c r="P111" s="5"/>
      <c r="Q111" s="5" t="s">
        <v>362</v>
      </c>
      <c r="R111" s="64" t="s">
        <v>1146</v>
      </c>
      <c r="S111" s="5"/>
      <c r="T111" s="5"/>
      <c r="U111" s="5"/>
      <c r="V111" s="5"/>
      <c r="W111" s="5"/>
      <c r="X111" s="5"/>
      <c r="Y111" s="226"/>
      <c r="Z111" s="5"/>
      <c r="AA111" s="5"/>
      <c r="AB111" s="5"/>
      <c r="AC111" s="5"/>
      <c r="AD111" s="5"/>
      <c r="AE111" s="5"/>
      <c r="AF111" s="5"/>
    </row>
    <row r="112" spans="1:32" x14ac:dyDescent="0.2">
      <c r="A112" s="5" t="s">
        <v>363</v>
      </c>
      <c r="B112" s="64" t="s">
        <v>1147</v>
      </c>
      <c r="C112" s="5"/>
      <c r="D112" s="5"/>
      <c r="E112" s="5"/>
      <c r="F112" s="5"/>
      <c r="G112" s="5"/>
      <c r="H112" s="5"/>
      <c r="I112" s="226"/>
      <c r="J112" s="5"/>
      <c r="K112" s="5"/>
      <c r="L112" s="5"/>
      <c r="M112" s="5"/>
      <c r="N112" s="5"/>
      <c r="O112" s="5"/>
      <c r="P112" s="5"/>
      <c r="Q112" s="5" t="s">
        <v>363</v>
      </c>
      <c r="R112" s="64" t="s">
        <v>1147</v>
      </c>
      <c r="S112" s="5"/>
      <c r="T112" s="5"/>
      <c r="U112" s="5"/>
      <c r="V112" s="5"/>
      <c r="W112" s="5"/>
      <c r="X112" s="5"/>
      <c r="Y112" s="226"/>
      <c r="Z112" s="5"/>
      <c r="AA112" s="5"/>
      <c r="AB112" s="5"/>
      <c r="AC112" s="5"/>
      <c r="AD112" s="5"/>
      <c r="AE112" s="5"/>
      <c r="AF112" s="5"/>
    </row>
    <row r="113" spans="1:32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x14ac:dyDescent="0.2">
      <c r="A115" s="5"/>
      <c r="B115" s="5"/>
      <c r="C115" s="5"/>
      <c r="D115" s="5"/>
      <c r="E115" s="5"/>
      <c r="F115" s="5"/>
      <c r="G115" s="5"/>
      <c r="H115" s="5"/>
      <c r="I115" s="1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4"/>
      <c r="Z115" s="5"/>
      <c r="AA115" s="5"/>
      <c r="AB115" s="5"/>
      <c r="AC115" s="5"/>
      <c r="AD115" s="5"/>
      <c r="AE115" s="5"/>
      <c r="AF115" s="5"/>
    </row>
    <row r="116" spans="1:32" x14ac:dyDescent="0.2">
      <c r="A116" s="5"/>
      <c r="B116" s="5"/>
      <c r="C116" s="5"/>
      <c r="D116" s="5"/>
      <c r="E116" s="5"/>
      <c r="F116" s="5"/>
      <c r="G116" s="5"/>
      <c r="H116" s="5"/>
      <c r="I116" s="1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4"/>
      <c r="Z116" s="5"/>
      <c r="AA116" s="5"/>
      <c r="AB116" s="5"/>
      <c r="AC116" s="5"/>
      <c r="AD116" s="5"/>
      <c r="AE116" s="5"/>
      <c r="AF116" s="5"/>
    </row>
    <row r="117" spans="1:32" ht="13.5" customHeight="1" thickBot="1" x14ac:dyDescent="0.25">
      <c r="A117" s="5"/>
      <c r="B117" s="5"/>
      <c r="C117" s="5"/>
      <c r="D117" s="5"/>
      <c r="E117" s="5"/>
      <c r="F117" s="5"/>
      <c r="G117" s="5"/>
      <c r="H117" s="5"/>
      <c r="I117" s="1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14"/>
      <c r="Z117" s="5"/>
      <c r="AA117" s="5"/>
      <c r="AB117" s="5"/>
      <c r="AC117" s="5"/>
      <c r="AD117" s="5"/>
      <c r="AE117" s="5"/>
      <c r="AF117" s="5"/>
    </row>
    <row r="118" spans="1:32" ht="17.25" customHeight="1" thickTop="1" thickBot="1" x14ac:dyDescent="0.3">
      <c r="A118" s="988"/>
      <c r="B118" s="823"/>
      <c r="C118" s="871"/>
      <c r="D118" s="934" t="str">
        <f>'Front Page'!$A$13</f>
        <v>Mechanical  Calculations</v>
      </c>
      <c r="E118" s="842"/>
      <c r="F118" s="842"/>
      <c r="G118" s="842"/>
      <c r="H118" s="859"/>
      <c r="I118" s="14"/>
      <c r="J118" s="5"/>
      <c r="K118" s="5"/>
      <c r="L118" s="5"/>
      <c r="M118" s="5"/>
      <c r="N118" s="5"/>
      <c r="O118" s="5"/>
      <c r="P118" s="5"/>
      <c r="Q118" s="988"/>
      <c r="R118" s="823"/>
      <c r="S118" s="871"/>
      <c r="T118" s="934" t="str">
        <f>'Front Page'!$A$13</f>
        <v>Mechanical  Calculations</v>
      </c>
      <c r="U118" s="842"/>
      <c r="V118" s="842"/>
      <c r="W118" s="842"/>
      <c r="X118" s="859"/>
      <c r="Y118" s="14"/>
      <c r="Z118" s="5"/>
      <c r="AA118" s="5"/>
      <c r="AB118" s="5"/>
      <c r="AC118" s="5"/>
      <c r="AD118" s="5"/>
      <c r="AE118" s="5"/>
      <c r="AF118" s="5"/>
    </row>
    <row r="119" spans="1:32" ht="16.5" customHeight="1" thickBot="1" x14ac:dyDescent="0.3">
      <c r="A119" s="825"/>
      <c r="B119" s="809"/>
      <c r="C119" s="989"/>
      <c r="D119" s="984"/>
      <c r="E119" s="831"/>
      <c r="F119" s="831"/>
      <c r="G119" s="831"/>
      <c r="H119" s="854"/>
      <c r="I119" s="5"/>
      <c r="J119" s="5"/>
      <c r="K119" s="5"/>
      <c r="L119" s="5"/>
      <c r="M119" s="5"/>
      <c r="N119" s="5"/>
      <c r="O119" s="5"/>
      <c r="P119" s="5"/>
      <c r="Q119" s="825"/>
      <c r="R119" s="809"/>
      <c r="S119" s="989"/>
      <c r="T119" s="984"/>
      <c r="U119" s="831"/>
      <c r="V119" s="831"/>
      <c r="W119" s="831"/>
      <c r="X119" s="854"/>
      <c r="Y119" s="5"/>
      <c r="Z119" s="5"/>
      <c r="AA119" s="5"/>
      <c r="AB119" s="5"/>
      <c r="AC119" s="5"/>
      <c r="AD119" s="5"/>
      <c r="AE119" s="5"/>
      <c r="AF119" s="5"/>
    </row>
    <row r="120" spans="1:32" ht="16.5" customHeight="1" thickBot="1" x14ac:dyDescent="0.3">
      <c r="A120" s="827"/>
      <c r="B120" s="828"/>
      <c r="C120" s="857"/>
      <c r="D120" s="985" t="s">
        <v>1042</v>
      </c>
      <c r="E120" s="834"/>
      <c r="F120" s="834"/>
      <c r="G120" s="834"/>
      <c r="H120" s="986"/>
      <c r="I120" s="5"/>
      <c r="J120" s="5"/>
      <c r="K120" s="5"/>
      <c r="L120" s="5"/>
      <c r="M120" s="5"/>
      <c r="N120" s="5"/>
      <c r="O120" s="5"/>
      <c r="P120" s="5"/>
      <c r="Q120" s="827"/>
      <c r="R120" s="828"/>
      <c r="S120" s="857"/>
      <c r="T120" s="985" t="s">
        <v>1042</v>
      </c>
      <c r="U120" s="834"/>
      <c r="V120" s="834"/>
      <c r="W120" s="834"/>
      <c r="X120" s="986"/>
      <c r="Y120" s="5"/>
      <c r="Z120" s="5"/>
      <c r="AA120" s="5"/>
      <c r="AB120" s="5"/>
      <c r="AC120" s="5"/>
      <c r="AD120" s="5"/>
      <c r="AE120" s="5"/>
      <c r="AF120" s="5"/>
    </row>
    <row r="121" spans="1:32" ht="16.5" customHeight="1" thickTop="1" thickBot="1" x14ac:dyDescent="0.3">
      <c r="A121" s="873"/>
      <c r="B121" s="848"/>
      <c r="C121" s="865"/>
      <c r="D121" s="385" t="str">
        <f>'Front Page'!$D$4</f>
        <v>Doc Nº</v>
      </c>
      <c r="E121" s="980"/>
      <c r="F121" s="843"/>
      <c r="G121" s="980"/>
      <c r="H121" s="843"/>
      <c r="I121" s="5"/>
      <c r="J121" s="5"/>
      <c r="K121" s="5"/>
      <c r="L121" s="5"/>
      <c r="M121" s="5"/>
      <c r="N121" s="5"/>
      <c r="O121" s="5"/>
      <c r="P121" s="5"/>
      <c r="Q121" s="873"/>
      <c r="R121" s="848"/>
      <c r="S121" s="865"/>
      <c r="T121" s="385" t="str">
        <f>'Front Page'!$D$4</f>
        <v>Doc Nº</v>
      </c>
      <c r="U121" s="980"/>
      <c r="V121" s="843"/>
      <c r="W121" s="980"/>
      <c r="X121" s="843"/>
      <c r="Y121" s="5"/>
      <c r="Z121" s="5"/>
      <c r="AA121" s="5"/>
      <c r="AB121" s="5"/>
      <c r="AC121" s="5"/>
      <c r="AD121" s="5"/>
      <c r="AE121" s="5"/>
      <c r="AF121" s="5"/>
    </row>
    <row r="122" spans="1:32" ht="15.75" customHeight="1" thickBot="1" x14ac:dyDescent="0.3">
      <c r="A122" s="860"/>
      <c r="B122" s="851"/>
      <c r="C122" s="861"/>
      <c r="D122" s="386" t="str">
        <f>'Front Page'!$D$5</f>
        <v>Project</v>
      </c>
      <c r="E122" s="899"/>
      <c r="F122" s="835"/>
      <c r="G122" s="131" t="s">
        <v>5</v>
      </c>
      <c r="H122" s="132"/>
      <c r="I122" s="5"/>
      <c r="J122" s="5"/>
      <c r="K122" s="5"/>
      <c r="L122" s="5"/>
      <c r="M122" s="5"/>
      <c r="N122" s="5"/>
      <c r="O122" s="5"/>
      <c r="P122" s="5"/>
      <c r="Q122" s="860"/>
      <c r="R122" s="851"/>
      <c r="S122" s="861"/>
      <c r="T122" s="386" t="str">
        <f>'Front Page'!$D$5</f>
        <v>Project</v>
      </c>
      <c r="U122" s="899"/>
      <c r="V122" s="835"/>
      <c r="W122" s="131" t="s">
        <v>5</v>
      </c>
      <c r="X122" s="132"/>
      <c r="Y122" s="5"/>
      <c r="Z122" s="5"/>
      <c r="AA122" s="5"/>
      <c r="AB122" s="5"/>
      <c r="AC122" s="5"/>
      <c r="AD122" s="5"/>
      <c r="AE122" s="5"/>
      <c r="AF122" s="5"/>
    </row>
    <row r="123" spans="1:32" ht="13.5" customHeight="1" thickTop="1" x14ac:dyDescent="0.2">
      <c r="A123" s="4"/>
      <c r="B123" s="4"/>
      <c r="C123" s="4"/>
      <c r="D123" s="4"/>
      <c r="E123" s="4"/>
      <c r="F123" s="4"/>
      <c r="G123" s="4"/>
      <c r="H123" s="4"/>
      <c r="I123" s="5"/>
      <c r="J123" s="5"/>
      <c r="K123" s="5"/>
      <c r="L123" s="5"/>
      <c r="M123" s="5"/>
      <c r="N123" s="5"/>
      <c r="O123" s="5"/>
      <c r="P123" s="5"/>
      <c r="Q123" s="118" t="s">
        <v>1148</v>
      </c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x14ac:dyDescent="0.2">
      <c r="A124" s="118" t="s">
        <v>1148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4"/>
      <c r="R125" s="14" t="s">
        <v>1149</v>
      </c>
      <c r="S125" s="14" t="s">
        <v>1150</v>
      </c>
      <c r="T125" s="14" t="s">
        <v>1151</v>
      </c>
      <c r="U125" s="14" t="s">
        <v>1152</v>
      </c>
      <c r="V125" s="14" t="s">
        <v>1153</v>
      </c>
      <c r="W125" s="14"/>
      <c r="X125" s="14" t="s">
        <v>1136</v>
      </c>
      <c r="Y125" s="5"/>
      <c r="Z125" s="5"/>
      <c r="AA125" s="5"/>
      <c r="AB125" s="5"/>
      <c r="AC125" s="5"/>
      <c r="AD125" s="5"/>
      <c r="AE125" s="5"/>
      <c r="AF125" s="5"/>
    </row>
    <row r="126" spans="1:32" x14ac:dyDescent="0.2">
      <c r="A126" s="14"/>
      <c r="B126" s="14" t="s">
        <v>1149</v>
      </c>
      <c r="C126" s="14" t="s">
        <v>1150</v>
      </c>
      <c r="D126" s="14" t="s">
        <v>1151</v>
      </c>
      <c r="E126" s="14" t="s">
        <v>1152</v>
      </c>
      <c r="F126" s="14" t="s">
        <v>1153</v>
      </c>
      <c r="G126" s="14"/>
      <c r="H126" s="14" t="s">
        <v>1136</v>
      </c>
      <c r="I126" s="5"/>
      <c r="J126" s="5"/>
      <c r="K126" s="5"/>
      <c r="L126" s="5"/>
      <c r="M126" s="5"/>
      <c r="N126" s="5"/>
      <c r="O126" s="5"/>
      <c r="P126" s="5"/>
      <c r="Q126" s="14"/>
      <c r="R126" s="170" t="s">
        <v>1154</v>
      </c>
      <c r="S126" s="170" t="s">
        <v>248</v>
      </c>
      <c r="T126" s="170" t="s">
        <v>248</v>
      </c>
      <c r="U126" s="170" t="s">
        <v>248</v>
      </c>
      <c r="V126" s="170" t="s">
        <v>1154</v>
      </c>
      <c r="W126" s="14"/>
      <c r="X126" s="14"/>
      <c r="Y126" s="5"/>
      <c r="Z126" s="5"/>
      <c r="AA126" s="5"/>
      <c r="AB126" s="5"/>
      <c r="AC126" s="5"/>
      <c r="AD126" s="5"/>
      <c r="AE126" s="5"/>
      <c r="AF126" s="5"/>
    </row>
    <row r="127" spans="1:32" x14ac:dyDescent="0.2">
      <c r="A127" s="14"/>
      <c r="B127" s="14" t="s">
        <v>1155</v>
      </c>
      <c r="C127" s="14" t="s">
        <v>247</v>
      </c>
      <c r="D127" s="14" t="s">
        <v>247</v>
      </c>
      <c r="E127" s="14" t="s">
        <v>247</v>
      </c>
      <c r="F127" s="14" t="s">
        <v>1155</v>
      </c>
      <c r="G127" s="14"/>
      <c r="H127" s="14"/>
      <c r="I127" s="5"/>
      <c r="J127" s="5"/>
      <c r="K127" s="5"/>
      <c r="L127" s="5"/>
      <c r="M127" s="5"/>
      <c r="N127" s="5"/>
      <c r="O127" s="5"/>
      <c r="P127" s="5"/>
      <c r="Q127" s="14">
        <v>1</v>
      </c>
      <c r="R127" s="14">
        <f t="shared" ref="R127:R132" si="22">B128/(25.4*25.4*25.4*25.4)</f>
        <v>5.0881582557611429</v>
      </c>
      <c r="S127" s="260" t="e">
        <f t="shared" ref="S127:U132" si="23">C128/25.4</f>
        <v>#DIV/0!</v>
      </c>
      <c r="T127" s="260" t="e">
        <f t="shared" si="23"/>
        <v>#DIV/0!</v>
      </c>
      <c r="U127" s="260" t="e">
        <f t="shared" si="23"/>
        <v>#DIV/0!</v>
      </c>
      <c r="V127" s="14" t="e">
        <f t="shared" ref="V127:V132" si="24">F128/(25.4*25.4*25.4*25.4)</f>
        <v>#DIV/0!</v>
      </c>
      <c r="W127" s="264" t="e">
        <f t="shared" ref="W127:W132" si="25">IF(V127&gt;R127,"OK","ERROR")</f>
        <v>#DIV/0!</v>
      </c>
      <c r="X127" s="417" t="e">
        <f t="shared" ref="X127:X132" si="26">V127/R127</f>
        <v>#DIV/0!</v>
      </c>
      <c r="Y127" s="5"/>
      <c r="Z127" s="5"/>
      <c r="AA127" s="5"/>
      <c r="AB127" s="5"/>
      <c r="AC127" s="5"/>
      <c r="AD127" s="5"/>
      <c r="AE127" s="5"/>
      <c r="AF127" s="5"/>
    </row>
    <row r="128" spans="1:32" x14ac:dyDescent="0.2">
      <c r="A128" s="14">
        <v>1</v>
      </c>
      <c r="B128" s="14">
        <f t="shared" ref="B128:B133" si="27">($B$16*I71*(D90/2+D91/2)*$B$14^3)/(8*$B$15*($B$23-1))</f>
        <v>2117851.3644738696</v>
      </c>
      <c r="C128" s="260" t="e">
        <f t="shared" ref="C128:C133" si="28">1.1*B90*($B$14/B90)^0.5</f>
        <v>#DIV/0!</v>
      </c>
      <c r="D128" s="14" t="e">
        <f t="shared" ref="D128:D133" si="29">MIN(IF(C128*B90&gt;$B$38,$B$38/B90,C128),32*B90)</f>
        <v>#DIV/0!</v>
      </c>
      <c r="E128" s="260" t="e">
        <f t="shared" ref="E128:E133" si="30">($K$36*$K$35*($B$36+$K$36/2+B90)+$B$37*$B$36*($B$36+B90)/2+D128*B90^2/2)/($K$36*$K$35+$B$37*$B$36+D128*B90)</f>
        <v>#DIV/0!</v>
      </c>
      <c r="F128" s="14" t="e">
        <f t="shared" ref="F128:F133" si="31">$K$36*$K$35*($B$36+$B$37/2-E128)^2+$B$37*($B$36-E128)*(($B$36-E128)/2)^2+$B$37*E128*(E128/2)^2+B90*D128*(E128+B90/2)^2+$K$35*$K$36^3/12+$B$37*($B$36-E128)^3/12+$B$37*E128^3/12+D128*B90^3/12</f>
        <v>#DIV/0!</v>
      </c>
      <c r="G128" s="264" t="e">
        <f t="shared" ref="G128:G133" si="32">IF(F128&gt;B128,"OK","ERROR")</f>
        <v>#DIV/0!</v>
      </c>
      <c r="H128" s="417" t="e">
        <f t="shared" ref="H128:H133" si="33">F128/B128</f>
        <v>#DIV/0!</v>
      </c>
      <c r="I128" s="5"/>
      <c r="J128" s="64" t="s">
        <v>1061</v>
      </c>
      <c r="K128" s="5" t="e">
        <f>(445*($B$35/1000)^3/('Main Dimensions Calcs'!M18/1000)^2/5)^0.5</f>
        <v>#DIV/0!</v>
      </c>
      <c r="L128" s="5"/>
      <c r="M128" s="5"/>
      <c r="N128" s="5"/>
      <c r="O128" s="5"/>
      <c r="P128" s="5"/>
      <c r="Q128" s="14">
        <f>Q127+1</f>
        <v>2</v>
      </c>
      <c r="R128" s="14">
        <f t="shared" si="22"/>
        <v>1.0060195105570711</v>
      </c>
      <c r="S128" s="260" t="e">
        <f t="shared" si="23"/>
        <v>#DIV/0!</v>
      </c>
      <c r="T128" s="260" t="e">
        <f t="shared" si="23"/>
        <v>#DIV/0!</v>
      </c>
      <c r="U128" s="260" t="e">
        <f t="shared" si="23"/>
        <v>#DIV/0!</v>
      </c>
      <c r="V128" s="14" t="e">
        <f t="shared" si="24"/>
        <v>#DIV/0!</v>
      </c>
      <c r="W128" s="264" t="e">
        <f t="shared" si="25"/>
        <v>#DIV/0!</v>
      </c>
      <c r="X128" s="417" t="e">
        <f t="shared" si="26"/>
        <v>#DIV/0!</v>
      </c>
      <c r="Y128" s="5"/>
      <c r="Z128" s="64" t="s">
        <v>1061</v>
      </c>
      <c r="AA128" s="5" t="e">
        <f>(445*($B$35/1000)^3/('Main Dimensions Calcs'!AC18/1000)^2/5)^0.5</f>
        <v>#DIV/0!</v>
      </c>
      <c r="AB128" s="5"/>
      <c r="AC128" s="5"/>
      <c r="AD128" s="5"/>
      <c r="AE128" s="5"/>
      <c r="AF128" s="5"/>
    </row>
    <row r="129" spans="1:32" x14ac:dyDescent="0.2">
      <c r="A129" s="14">
        <f>A128+1</f>
        <v>2</v>
      </c>
      <c r="B129" s="14">
        <f t="shared" si="27"/>
        <v>418736.93506058387</v>
      </c>
      <c r="C129" s="260" t="e">
        <f t="shared" si="28"/>
        <v>#DIV/0!</v>
      </c>
      <c r="D129" s="14" t="e">
        <f t="shared" si="29"/>
        <v>#DIV/0!</v>
      </c>
      <c r="E129" s="260" t="e">
        <f t="shared" si="30"/>
        <v>#DIV/0!</v>
      </c>
      <c r="F129" s="14" t="e">
        <f t="shared" si="31"/>
        <v>#DIV/0!</v>
      </c>
      <c r="G129" s="264" t="e">
        <f t="shared" si="32"/>
        <v>#DIV/0!</v>
      </c>
      <c r="H129" s="417" t="e">
        <f t="shared" si="33"/>
        <v>#DIV/0!</v>
      </c>
      <c r="I129" s="14" t="s">
        <v>940</v>
      </c>
      <c r="J129" s="14" t="s">
        <v>247</v>
      </c>
      <c r="K129" s="5" t="s">
        <v>1156</v>
      </c>
      <c r="L129" s="14" t="s">
        <v>334</v>
      </c>
      <c r="M129" s="5"/>
      <c r="N129" s="5"/>
      <c r="O129" s="5"/>
      <c r="P129" s="5"/>
      <c r="Q129" s="14">
        <f>Q128+1</f>
        <v>3</v>
      </c>
      <c r="R129" s="14">
        <f t="shared" si="22"/>
        <v>0.46431742830752426</v>
      </c>
      <c r="S129" s="260" t="e">
        <f t="shared" si="23"/>
        <v>#DIV/0!</v>
      </c>
      <c r="T129" s="260" t="e">
        <f t="shared" si="23"/>
        <v>#DIV/0!</v>
      </c>
      <c r="U129" s="260" t="e">
        <f t="shared" si="23"/>
        <v>#DIV/0!</v>
      </c>
      <c r="V129" s="14" t="e">
        <f t="shared" si="24"/>
        <v>#DIV/0!</v>
      </c>
      <c r="W129" s="264" t="e">
        <f t="shared" si="25"/>
        <v>#DIV/0!</v>
      </c>
      <c r="X129" s="417" t="e">
        <f t="shared" si="26"/>
        <v>#DIV/0!</v>
      </c>
      <c r="Y129" s="14" t="s">
        <v>940</v>
      </c>
      <c r="Z129" s="14" t="s">
        <v>247</v>
      </c>
      <c r="AA129" s="5" t="s">
        <v>1156</v>
      </c>
      <c r="AB129" s="14" t="s">
        <v>334</v>
      </c>
      <c r="AC129" s="5"/>
      <c r="AD129" s="5"/>
      <c r="AE129" s="5"/>
      <c r="AF129" s="5"/>
    </row>
    <row r="130" spans="1:32" x14ac:dyDescent="0.2">
      <c r="A130" s="14">
        <f>A129+1</f>
        <v>3</v>
      </c>
      <c r="B130" s="14">
        <f t="shared" si="27"/>
        <v>193263.5051153666</v>
      </c>
      <c r="C130" s="260" t="e">
        <f t="shared" si="28"/>
        <v>#DIV/0!</v>
      </c>
      <c r="D130" s="14" t="e">
        <f t="shared" si="29"/>
        <v>#DIV/0!</v>
      </c>
      <c r="E130" s="260" t="e">
        <f t="shared" si="30"/>
        <v>#DIV/0!</v>
      </c>
      <c r="F130" s="14" t="e">
        <f t="shared" si="31"/>
        <v>#DIV/0!</v>
      </c>
      <c r="G130" s="264" t="e">
        <f t="shared" si="32"/>
        <v>#DIV/0!</v>
      </c>
      <c r="H130" s="417" t="e">
        <f t="shared" si="33"/>
        <v>#DIV/0!</v>
      </c>
      <c r="I130" s="14" t="s">
        <v>1157</v>
      </c>
      <c r="J130" s="5" t="s">
        <v>1158</v>
      </c>
      <c r="K130" s="5" t="s">
        <v>190</v>
      </c>
      <c r="L130" s="14" t="s">
        <v>1159</v>
      </c>
      <c r="M130" s="14" t="s">
        <v>1160</v>
      </c>
      <c r="N130" s="14" t="s">
        <v>1161</v>
      </c>
      <c r="O130" s="5"/>
      <c r="P130" s="5"/>
      <c r="Q130" s="14">
        <f>Q129+1</f>
        <v>4</v>
      </c>
      <c r="R130" s="14">
        <f t="shared" si="22"/>
        <v>-3.0068065917188338E-5</v>
      </c>
      <c r="S130" s="260" t="e">
        <f t="shared" si="23"/>
        <v>#DIV/0!</v>
      </c>
      <c r="T130" s="260" t="e">
        <f t="shared" si="23"/>
        <v>#DIV/0!</v>
      </c>
      <c r="U130" s="260" t="e">
        <f t="shared" si="23"/>
        <v>#DIV/0!</v>
      </c>
      <c r="V130" s="14" t="e">
        <f t="shared" si="24"/>
        <v>#DIV/0!</v>
      </c>
      <c r="W130" s="264" t="e">
        <f t="shared" si="25"/>
        <v>#DIV/0!</v>
      </c>
      <c r="X130" s="417" t="e">
        <f t="shared" si="26"/>
        <v>#DIV/0!</v>
      </c>
      <c r="Y130" s="14" t="s">
        <v>1157</v>
      </c>
      <c r="Z130" s="5" t="s">
        <v>1158</v>
      </c>
      <c r="AA130" s="5" t="s">
        <v>190</v>
      </c>
      <c r="AB130" s="14" t="s">
        <v>1159</v>
      </c>
      <c r="AC130" s="14" t="s">
        <v>1160</v>
      </c>
      <c r="AD130" s="14" t="s">
        <v>1161</v>
      </c>
      <c r="AE130" s="5"/>
      <c r="AF130" s="5"/>
    </row>
    <row r="131" spans="1:32" x14ac:dyDescent="0.2">
      <c r="A131" s="14">
        <f>A130+1</f>
        <v>4</v>
      </c>
      <c r="B131" s="14">
        <f t="shared" si="27"/>
        <v>-12.515273941746072</v>
      </c>
      <c r="C131" s="260" t="e">
        <f t="shared" si="28"/>
        <v>#DIV/0!</v>
      </c>
      <c r="D131" s="14" t="e">
        <f t="shared" si="29"/>
        <v>#DIV/0!</v>
      </c>
      <c r="E131" s="260" t="e">
        <f t="shared" si="30"/>
        <v>#DIV/0!</v>
      </c>
      <c r="F131" s="14" t="e">
        <f t="shared" si="31"/>
        <v>#DIV/0!</v>
      </c>
      <c r="G131" s="264" t="e">
        <f t="shared" si="32"/>
        <v>#DIV/0!</v>
      </c>
      <c r="H131" s="417" t="e">
        <f t="shared" si="33"/>
        <v>#DIV/0!</v>
      </c>
      <c r="I131" s="5">
        <f>1000*B71*1000*(D90+D91)/2000</f>
        <v>11562.818570480327</v>
      </c>
      <c r="J131" s="5">
        <f>13.4*($B$35/1000*B90)^0.5</f>
        <v>0</v>
      </c>
      <c r="K131" s="5" t="e">
        <f>37.5*($B$35/1000)^3*I131/($B$15*($K$128-1))</f>
        <v>#DIV/0!</v>
      </c>
      <c r="L131" s="5">
        <f>2*I131*$B$35/(1000*2*103)</f>
        <v>2341.3023699605606</v>
      </c>
      <c r="M131" s="5">
        <f>MAX(L131-2*J131*B90,0.5*L131)</f>
        <v>2341.3023699605606</v>
      </c>
      <c r="N131" s="5" t="e">
        <f>K131*10000/(B128)</f>
        <v>#DIV/0!</v>
      </c>
      <c r="O131" s="5">
        <f>L131/B149</f>
        <v>3.0472922741938584</v>
      </c>
      <c r="P131" s="5"/>
      <c r="Q131" s="14">
        <f>Q130+1</f>
        <v>5</v>
      </c>
      <c r="R131" s="14">
        <f t="shared" si="22"/>
        <v>0</v>
      </c>
      <c r="S131" s="260" t="e">
        <f t="shared" si="23"/>
        <v>#DIV/0!</v>
      </c>
      <c r="T131" s="260" t="e">
        <f t="shared" si="23"/>
        <v>#DIV/0!</v>
      </c>
      <c r="U131" s="260" t="e">
        <f t="shared" si="23"/>
        <v>#DIV/0!</v>
      </c>
      <c r="V131" s="14" t="e">
        <f t="shared" si="24"/>
        <v>#DIV/0!</v>
      </c>
      <c r="W131" s="264" t="e">
        <f t="shared" si="25"/>
        <v>#DIV/0!</v>
      </c>
      <c r="X131" s="417" t="e">
        <f t="shared" si="26"/>
        <v>#DIV/0!</v>
      </c>
      <c r="Y131" s="5" t="e">
        <f>1000*#REF!*1000*(T90+T91)/2000</f>
        <v>#REF!</v>
      </c>
      <c r="Z131" s="5">
        <f>13.4*($B$35/1000*R90)^0.5</f>
        <v>0</v>
      </c>
      <c r="AA131" s="5" t="e">
        <f>37.5*($B$35/1000)^3*Y131/($B$15*($K$128-1))</f>
        <v>#REF!</v>
      </c>
      <c r="AB131" s="5" t="e">
        <f>2*Y131*$B$35/(1000*2*103)</f>
        <v>#REF!</v>
      </c>
      <c r="AC131" s="5" t="e">
        <f>MAX(AB131-2*Z131*R90,0.5*AB131)</f>
        <v>#REF!</v>
      </c>
      <c r="AD131" s="5" t="e">
        <f>AA131*10000/(R127)</f>
        <v>#REF!</v>
      </c>
      <c r="AE131" s="5" t="e">
        <f>AB131/R145</f>
        <v>#REF!</v>
      </c>
      <c r="AF131" s="5"/>
    </row>
    <row r="132" spans="1:32" ht="14.25" customHeight="1" x14ac:dyDescent="0.2">
      <c r="A132" s="14">
        <f>A131+1</f>
        <v>5</v>
      </c>
      <c r="B132" s="14">
        <f t="shared" si="27"/>
        <v>0</v>
      </c>
      <c r="C132" s="260" t="e">
        <f t="shared" si="28"/>
        <v>#DIV/0!</v>
      </c>
      <c r="D132" s="14" t="e">
        <f t="shared" si="29"/>
        <v>#DIV/0!</v>
      </c>
      <c r="E132" s="260" t="e">
        <f t="shared" si="30"/>
        <v>#DIV/0!</v>
      </c>
      <c r="F132" s="14" t="e">
        <f t="shared" si="31"/>
        <v>#DIV/0!</v>
      </c>
      <c r="G132" s="264" t="e">
        <f t="shared" si="32"/>
        <v>#DIV/0!</v>
      </c>
      <c r="H132" s="417" t="e">
        <f t="shared" si="33"/>
        <v>#DIV/0!</v>
      </c>
      <c r="I132" s="5">
        <f>1000*B72*1000*(D91+D92)/2000</f>
        <v>2286.1751726695702</v>
      </c>
      <c r="J132" s="5">
        <f>13.4*($B$35/1000*B91)^0.5</f>
        <v>0</v>
      </c>
      <c r="K132" s="5" t="e">
        <f>37.5*($B$35/1000)^3*I132/($B$15*($K$128-1))</f>
        <v>#DIV/0!</v>
      </c>
      <c r="L132" s="5">
        <f>2*I132*$B$35/(1000*2*103)</f>
        <v>462.91717865239372</v>
      </c>
      <c r="M132" s="5">
        <f>MAX(L132-2*J132*B91,0.5*L132)</f>
        <v>462.91717865239372</v>
      </c>
      <c r="N132" s="5" t="e">
        <f>K132*10000/(B129)</f>
        <v>#DIV/0!</v>
      </c>
      <c r="O132" s="5">
        <f>L132/B150</f>
        <v>3.0472922741938575</v>
      </c>
      <c r="P132" s="5"/>
      <c r="Q132" s="14">
        <f>Q131+1</f>
        <v>6</v>
      </c>
      <c r="R132" s="14">
        <f t="shared" si="22"/>
        <v>0</v>
      </c>
      <c r="S132" s="260" t="e">
        <f t="shared" si="23"/>
        <v>#DIV/0!</v>
      </c>
      <c r="T132" s="260" t="e">
        <f t="shared" si="23"/>
        <v>#DIV/0!</v>
      </c>
      <c r="U132" s="260" t="e">
        <f t="shared" si="23"/>
        <v>#DIV/0!</v>
      </c>
      <c r="V132" s="14" t="e">
        <f t="shared" si="24"/>
        <v>#DIV/0!</v>
      </c>
      <c r="W132" s="264" t="e">
        <f t="shared" si="25"/>
        <v>#DIV/0!</v>
      </c>
      <c r="X132" s="417" t="e">
        <f t="shared" si="26"/>
        <v>#DIV/0!</v>
      </c>
      <c r="Y132" s="5" t="e">
        <f>1000*#REF!*1000*(T91+T92)/2000</f>
        <v>#REF!</v>
      </c>
      <c r="Z132" s="5">
        <f>13.4*($B$35/1000*R91)^0.5</f>
        <v>0</v>
      </c>
      <c r="AA132" s="5" t="e">
        <f>37.5*($B$35/1000)^3*Y132/($B$15*($K$128-1))</f>
        <v>#REF!</v>
      </c>
      <c r="AB132" s="5" t="e">
        <f>2*Y132*$B$35/(1000*2*103)</f>
        <v>#REF!</v>
      </c>
      <c r="AC132" s="5" t="e">
        <f>MAX(AB132-2*Z132*R91,0.5*AB132)</f>
        <v>#REF!</v>
      </c>
      <c r="AD132" s="5" t="e">
        <f>AA132*10000/(R128)</f>
        <v>#REF!</v>
      </c>
      <c r="AE132" s="5" t="e">
        <f>AB132/R146</f>
        <v>#REF!</v>
      </c>
      <c r="AF132" s="5"/>
    </row>
    <row r="133" spans="1:32" ht="13.5" customHeight="1" x14ac:dyDescent="0.2">
      <c r="A133" s="14">
        <f>A132+1</f>
        <v>6</v>
      </c>
      <c r="B133" s="14">
        <f t="shared" si="27"/>
        <v>0</v>
      </c>
      <c r="C133" s="260" t="e">
        <f t="shared" si="28"/>
        <v>#DIV/0!</v>
      </c>
      <c r="D133" s="14" t="e">
        <f t="shared" si="29"/>
        <v>#DIV/0!</v>
      </c>
      <c r="E133" s="260" t="e">
        <f t="shared" si="30"/>
        <v>#DIV/0!</v>
      </c>
      <c r="F133" s="14" t="e">
        <f t="shared" si="31"/>
        <v>#DIV/0!</v>
      </c>
      <c r="G133" s="264" t="e">
        <f t="shared" si="32"/>
        <v>#DIV/0!</v>
      </c>
      <c r="H133" s="417" t="e">
        <f t="shared" si="33"/>
        <v>#DIV/0!</v>
      </c>
      <c r="I133" s="5">
        <f>1000*B73*1000*(D92+D93)/2000</f>
        <v>1055.1594334851884</v>
      </c>
      <c r="J133" s="5">
        <f>13.4*($B$35/1000*B92)^0.5</f>
        <v>0</v>
      </c>
      <c r="K133" s="5" t="e">
        <f>37.5*($B$35/1000)^3*I133/($B$15*($K$128-1))</f>
        <v>#DIV/0!</v>
      </c>
      <c r="L133" s="5">
        <f>2*I133*$B$35/(1000*2*103)</f>
        <v>213.65441888123388</v>
      </c>
      <c r="M133" s="5">
        <f>MAX(L133-2*J133*B92,0.5*L133)</f>
        <v>213.65441888123388</v>
      </c>
      <c r="N133" s="5" t="e">
        <f>K133*10000/(B130)</f>
        <v>#DIV/0!</v>
      </c>
      <c r="O133" s="5">
        <f>L133/B151</f>
        <v>2.6663807399196262</v>
      </c>
      <c r="P133" s="5"/>
      <c r="Q133" s="5"/>
      <c r="R133" s="5"/>
      <c r="S133" s="5"/>
      <c r="T133" s="5"/>
      <c r="U133" s="5"/>
      <c r="V133" s="5"/>
      <c r="W133" s="5"/>
      <c r="X133" s="5"/>
      <c r="Y133" s="5" t="e">
        <f>1000*#REF!*1000*(T92+T93)/2000</f>
        <v>#REF!</v>
      </c>
      <c r="Z133" s="5">
        <f>13.4*($B$35/1000*R92)^0.5</f>
        <v>0</v>
      </c>
      <c r="AA133" s="5" t="e">
        <f>37.5*($B$35/1000)^3*Y133/($B$15*($K$128-1))</f>
        <v>#REF!</v>
      </c>
      <c r="AB133" s="5" t="e">
        <f>2*Y133*$B$35/(1000*2*103)</f>
        <v>#REF!</v>
      </c>
      <c r="AC133" s="5" t="e">
        <f>MAX(AB133-2*Z133*R92,0.5*AB133)</f>
        <v>#REF!</v>
      </c>
      <c r="AD133" s="5" t="e">
        <f>AA133*10000/(R129)</f>
        <v>#REF!</v>
      </c>
      <c r="AE133" s="5" t="e">
        <f>AB133/R147</f>
        <v>#REF!</v>
      </c>
      <c r="AF133" s="5"/>
    </row>
    <row r="134" spans="1:32" ht="15" customHeight="1" x14ac:dyDescent="0.2">
      <c r="A134" s="14"/>
      <c r="B134" s="14"/>
      <c r="C134" s="260"/>
      <c r="D134" s="417"/>
      <c r="E134" s="260"/>
      <c r="F134" s="14"/>
      <c r="G134" s="264"/>
      <c r="H134" s="417"/>
      <c r="I134" s="5">
        <f>1000*B77*1000*(D96+D97)/2000</f>
        <v>0</v>
      </c>
      <c r="J134" s="5">
        <f>13.4*($B$35/1000*B96)^0.5</f>
        <v>0</v>
      </c>
      <c r="K134" s="5" t="e">
        <f>37.5*($B$35/1000)^3*I134/($B$15*($K$128-1))</f>
        <v>#DIV/0!</v>
      </c>
      <c r="L134" s="5">
        <f>2*I134*$B$35/(1000*2*103)</f>
        <v>0</v>
      </c>
      <c r="M134" s="5">
        <f>MAX(L134-2*J134*B96,0.5*L134)</f>
        <v>0</v>
      </c>
      <c r="N134" s="5" t="e">
        <f>K134*10000/(#REF!)</f>
        <v>#DIV/0!</v>
      </c>
      <c r="O134" s="5" t="e">
        <f>L134/B155</f>
        <v>#DIV/0!</v>
      </c>
      <c r="P134" s="5"/>
      <c r="Q134" s="5" t="s">
        <v>1162</v>
      </c>
      <c r="R134" s="993" t="s">
        <v>1163</v>
      </c>
      <c r="S134" s="809"/>
      <c r="T134" s="809"/>
      <c r="U134" s="809"/>
      <c r="V134" s="809"/>
      <c r="W134" s="809"/>
      <c r="X134" s="809"/>
      <c r="Y134" s="5"/>
      <c r="Z134" s="5"/>
      <c r="AA134" s="5"/>
      <c r="AB134" s="5"/>
      <c r="AC134" s="5"/>
      <c r="AD134" s="5"/>
      <c r="AE134" s="5"/>
      <c r="AF134" s="5"/>
    </row>
    <row r="135" spans="1:32" ht="13.35" customHeight="1" x14ac:dyDescent="0.2">
      <c r="A135" s="5" t="s">
        <v>1162</v>
      </c>
      <c r="B135" s="901" t="s">
        <v>1163</v>
      </c>
      <c r="C135" s="809"/>
      <c r="D135" s="809"/>
      <c r="E135" s="809"/>
      <c r="F135" s="809"/>
      <c r="G135" s="809"/>
      <c r="H135" s="809"/>
      <c r="I135" s="5"/>
      <c r="J135" s="5"/>
      <c r="K135" s="5"/>
      <c r="L135" s="5"/>
      <c r="M135" s="5"/>
      <c r="N135" s="5"/>
      <c r="O135" s="5"/>
      <c r="P135" s="5"/>
      <c r="Q135" s="5" t="s">
        <v>1149</v>
      </c>
      <c r="R135" s="462" t="s">
        <v>1164</v>
      </c>
      <c r="S135" s="463"/>
      <c r="T135" s="5"/>
      <c r="U135" s="5"/>
      <c r="V135" s="5"/>
      <c r="W135" s="5"/>
      <c r="X135" s="5"/>
      <c r="Y135" s="5" t="e">
        <f>1000*#REF!*1000*(T96+T97)/2000</f>
        <v>#REF!</v>
      </c>
      <c r="Z135" s="5">
        <f>13.4*($B$35/1000*R96)^0.5</f>
        <v>0</v>
      </c>
      <c r="AA135" s="5" t="e">
        <f>37.5*($B$35/1000)^3*Y135/($B$15*($K$128-1))</f>
        <v>#REF!</v>
      </c>
      <c r="AB135" s="5" t="e">
        <f>2*Y135*$B$35/(1000*2*103)</f>
        <v>#REF!</v>
      </c>
      <c r="AC135" s="5" t="e">
        <f>MAX(AB135-2*Z135*R96,0.5*AB135)</f>
        <v>#REF!</v>
      </c>
      <c r="AD135" s="5" t="e">
        <f>AA135*10000/(#REF!)</f>
        <v>#REF!</v>
      </c>
      <c r="AE135" s="5" t="e">
        <f>AB135/R151</f>
        <v>#REF!</v>
      </c>
      <c r="AF135" s="5"/>
    </row>
    <row r="136" spans="1:32" x14ac:dyDescent="0.2">
      <c r="A136" s="5" t="s">
        <v>1149</v>
      </c>
      <c r="B136" s="64" t="s">
        <v>1164</v>
      </c>
      <c r="C136" s="263"/>
      <c r="D136" s="5"/>
      <c r="E136" s="263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 t="s">
        <v>1150</v>
      </c>
      <c r="R136" s="993" t="s">
        <v>1165</v>
      </c>
      <c r="S136" s="809"/>
      <c r="T136" s="809"/>
      <c r="U136" s="809"/>
      <c r="V136" s="809"/>
      <c r="W136" s="809"/>
      <c r="X136" s="809"/>
      <c r="Y136" s="5"/>
      <c r="Z136" s="5"/>
      <c r="AA136" s="5"/>
      <c r="AB136" s="5"/>
      <c r="AC136" s="5"/>
      <c r="AD136" s="5"/>
      <c r="AE136" s="5"/>
      <c r="AF136" s="5"/>
    </row>
    <row r="137" spans="1:32" ht="12.6" customHeight="1" x14ac:dyDescent="0.2">
      <c r="A137" s="5" t="s">
        <v>1150</v>
      </c>
      <c r="B137" s="901" t="s">
        <v>1165</v>
      </c>
      <c r="C137" s="809"/>
      <c r="D137" s="809"/>
      <c r="E137" s="809"/>
      <c r="F137" s="809"/>
      <c r="G137" s="809"/>
      <c r="H137" s="809"/>
      <c r="I137" s="5"/>
      <c r="J137" s="5"/>
      <c r="K137" s="5" t="e">
        <f>F128/K131/10000</f>
        <v>#DIV/0!</v>
      </c>
      <c r="L137" s="5"/>
      <c r="M137" s="5">
        <f>D149/M131</f>
        <v>0.51253525191631444</v>
      </c>
      <c r="N137" s="5"/>
      <c r="O137" s="5"/>
      <c r="P137" s="5"/>
      <c r="Q137" s="5" t="s">
        <v>1151</v>
      </c>
      <c r="R137" s="992" t="s">
        <v>1166</v>
      </c>
      <c r="S137" s="809"/>
      <c r="T137" s="809"/>
      <c r="U137" s="809"/>
      <c r="V137" s="809"/>
      <c r="W137" s="809"/>
      <c r="X137" s="809"/>
      <c r="Y137" s="5"/>
      <c r="Z137" s="5"/>
      <c r="AA137" s="5" t="e">
        <f>V127/AA131/10000</f>
        <v>#DIV/0!</v>
      </c>
      <c r="AB137" s="5"/>
      <c r="AC137" s="5" t="e">
        <f>T145/AC131</f>
        <v>#REF!</v>
      </c>
      <c r="AD137" s="5"/>
      <c r="AE137" s="5"/>
      <c r="AF137" s="5"/>
    </row>
    <row r="138" spans="1:32" x14ac:dyDescent="0.2">
      <c r="A138" s="5"/>
      <c r="B138" s="809"/>
      <c r="C138" s="809"/>
      <c r="D138" s="809"/>
      <c r="E138" s="809"/>
      <c r="F138" s="809"/>
      <c r="G138" s="809"/>
      <c r="H138" s="809"/>
      <c r="I138" s="5"/>
      <c r="J138" s="5"/>
      <c r="K138" s="5" t="e">
        <f>F129/K132/10000</f>
        <v>#DIV/0!</v>
      </c>
      <c r="L138" s="5"/>
      <c r="M138" s="5">
        <f>D150/M132</f>
        <v>2.5922563588876546</v>
      </c>
      <c r="N138" s="5"/>
      <c r="O138" s="5"/>
      <c r="P138" s="5"/>
      <c r="Q138" s="5" t="s">
        <v>1152</v>
      </c>
      <c r="R138" s="462" t="s">
        <v>1167</v>
      </c>
      <c r="S138" s="462"/>
      <c r="T138" s="462"/>
      <c r="U138" s="462"/>
      <c r="V138" s="461"/>
      <c r="W138" s="461"/>
      <c r="X138" s="461"/>
      <c r="Y138" s="5"/>
      <c r="Z138" s="5"/>
      <c r="AA138" s="5" t="e">
        <f>V128/AA132/10000</f>
        <v>#DIV/0!</v>
      </c>
      <c r="AB138" s="5"/>
      <c r="AC138" s="5" t="e">
        <f>T146/AC132</f>
        <v>#REF!</v>
      </c>
      <c r="AD138" s="5"/>
      <c r="AE138" s="5"/>
      <c r="AF138" s="5"/>
    </row>
    <row r="139" spans="1:32" ht="12.6" customHeight="1" x14ac:dyDescent="0.2">
      <c r="A139" s="5" t="s">
        <v>1151</v>
      </c>
      <c r="B139" s="900" t="s">
        <v>1166</v>
      </c>
      <c r="C139" s="809"/>
      <c r="D139" s="809"/>
      <c r="E139" s="809"/>
      <c r="F139" s="809"/>
      <c r="G139" s="809"/>
      <c r="H139" s="809"/>
      <c r="I139" s="5"/>
      <c r="J139" s="5"/>
      <c r="K139" s="5" t="e">
        <f>F130/K133/10000</f>
        <v>#DIV/0!</v>
      </c>
      <c r="L139" s="5"/>
      <c r="M139" s="5">
        <f>D151/M133</f>
        <v>5.6165466002697348</v>
      </c>
      <c r="N139" s="5"/>
      <c r="O139" s="5"/>
      <c r="P139" s="5"/>
      <c r="Q139" s="5" t="s">
        <v>1153</v>
      </c>
      <c r="R139" s="462" t="s">
        <v>1168</v>
      </c>
      <c r="S139" s="462"/>
      <c r="T139" s="462"/>
      <c r="U139" s="462"/>
      <c r="V139" s="464"/>
      <c r="W139" s="464"/>
      <c r="X139" s="464"/>
      <c r="Y139" s="5"/>
      <c r="Z139" s="5"/>
      <c r="AA139" s="5" t="e">
        <f>V129/AA133/10000</f>
        <v>#DIV/0!</v>
      </c>
      <c r="AB139" s="5"/>
      <c r="AC139" s="5" t="e">
        <f>T147/AC133</f>
        <v>#REF!</v>
      </c>
      <c r="AD139" s="5"/>
      <c r="AE139" s="5"/>
      <c r="AF139" s="5"/>
    </row>
    <row r="140" spans="1:32" x14ac:dyDescent="0.2">
      <c r="A140" s="5"/>
      <c r="B140" s="809"/>
      <c r="C140" s="809"/>
      <c r="D140" s="809"/>
      <c r="E140" s="809"/>
      <c r="F140" s="809"/>
      <c r="G140" s="809"/>
      <c r="H140" s="809"/>
      <c r="I140" s="5"/>
      <c r="J140" s="5"/>
      <c r="K140" s="5" t="e">
        <f>F131/#REF!/10000</f>
        <v>#DIV/0!</v>
      </c>
      <c r="L140" s="5"/>
      <c r="M140" s="5" t="e">
        <f>D152/#REF!</f>
        <v>#REF!</v>
      </c>
      <c r="N140" s="5"/>
      <c r="O140" s="5"/>
      <c r="P140" s="5"/>
      <c r="Q140" s="5"/>
      <c r="R140" s="464"/>
      <c r="S140" s="464"/>
      <c r="T140" s="464"/>
      <c r="U140" s="464"/>
      <c r="V140" s="464"/>
      <c r="W140" s="464"/>
      <c r="X140" s="464"/>
      <c r="Y140" s="5"/>
      <c r="Z140" s="5"/>
      <c r="AA140" s="5" t="e">
        <f>V130/#REF!/10000</f>
        <v>#DIV/0!</v>
      </c>
      <c r="AB140" s="5"/>
      <c r="AC140" s="5" t="e">
        <f>T148/#REF!</f>
        <v>#REF!</v>
      </c>
      <c r="AD140" s="5"/>
      <c r="AE140" s="5"/>
      <c r="AF140" s="5"/>
    </row>
    <row r="141" spans="1:32" x14ac:dyDescent="0.2">
      <c r="A141" s="5"/>
      <c r="B141" s="809"/>
      <c r="C141" s="809"/>
      <c r="D141" s="809"/>
      <c r="E141" s="809"/>
      <c r="F141" s="809"/>
      <c r="G141" s="809"/>
      <c r="H141" s="809"/>
      <c r="I141" s="5"/>
      <c r="J141" s="5"/>
      <c r="K141" s="5" t="e">
        <f>F132/#REF!/10000</f>
        <v>#DIV/0!</v>
      </c>
      <c r="L141" s="5"/>
      <c r="M141" s="5" t="e">
        <f>D153/#REF!</f>
        <v>#REF!</v>
      </c>
      <c r="N141" s="5"/>
      <c r="O141" s="5"/>
      <c r="P141" s="5"/>
      <c r="Q141" s="121" t="s">
        <v>1169</v>
      </c>
      <c r="R141" s="5"/>
      <c r="S141" s="5"/>
      <c r="T141" s="5"/>
      <c r="U141" s="5"/>
      <c r="V141" s="5"/>
      <c r="W141" s="5"/>
      <c r="X141" s="464"/>
      <c r="Y141" s="5"/>
      <c r="Z141" s="5"/>
      <c r="AA141" s="5" t="e">
        <f>V131/#REF!/10000</f>
        <v>#DIV/0!</v>
      </c>
      <c r="AB141" s="5"/>
      <c r="AC141" s="5" t="e">
        <f>T149/#REF!</f>
        <v>#REF!</v>
      </c>
      <c r="AD141" s="5"/>
      <c r="AE141" s="5"/>
      <c r="AF141" s="5"/>
    </row>
    <row r="142" spans="1:32" x14ac:dyDescent="0.2">
      <c r="A142" s="5" t="s">
        <v>1152</v>
      </c>
      <c r="B142" s="64" t="s">
        <v>1167</v>
      </c>
      <c r="C142" s="5"/>
      <c r="D142" s="5"/>
      <c r="E142" s="5"/>
      <c r="F142" s="5"/>
      <c r="G142" s="5"/>
      <c r="H142" s="218"/>
      <c r="I142" s="5"/>
      <c r="J142" s="5"/>
      <c r="K142" s="5" t="e">
        <f>F133/#REF!/10000</f>
        <v>#DIV/0!</v>
      </c>
      <c r="L142" s="5"/>
      <c r="M142" s="5" t="e">
        <f>D154/#REF!</f>
        <v>#REF!</v>
      </c>
      <c r="N142" s="5"/>
      <c r="O142" s="5"/>
      <c r="P142" s="5"/>
      <c r="Q142" s="5"/>
      <c r="R142" s="14"/>
      <c r="S142" s="14"/>
      <c r="T142" s="14"/>
      <c r="U142" s="14"/>
      <c r="V142" s="14"/>
      <c r="W142" s="5"/>
      <c r="X142" s="465"/>
      <c r="Y142" s="5"/>
      <c r="Z142" s="5"/>
      <c r="AA142" s="5" t="e">
        <f>V132/#REF!/10000</f>
        <v>#DIV/0!</v>
      </c>
      <c r="AB142" s="5"/>
      <c r="AC142" s="5" t="e">
        <f>T150/#REF!</f>
        <v>#REF!</v>
      </c>
      <c r="AD142" s="5"/>
      <c r="AE142" s="5"/>
      <c r="AF142" s="5"/>
    </row>
    <row r="143" spans="1:32" x14ac:dyDescent="0.2">
      <c r="A143" s="5" t="s">
        <v>1153</v>
      </c>
      <c r="B143" s="64" t="s">
        <v>1168</v>
      </c>
      <c r="C143" s="5"/>
      <c r="D143" s="5"/>
      <c r="E143" s="5"/>
      <c r="F143" s="5"/>
      <c r="G143" s="5"/>
      <c r="H143" s="5"/>
      <c r="I143" s="5"/>
      <c r="J143" s="5"/>
      <c r="K143" s="5" t="e">
        <f>#REF!/K134/10000</f>
        <v>#REF!</v>
      </c>
      <c r="L143" s="5"/>
      <c r="M143" s="5" t="e">
        <f>D155/M134</f>
        <v>#DIV/0!</v>
      </c>
      <c r="N143" s="5"/>
      <c r="O143" s="5"/>
      <c r="P143" s="5"/>
      <c r="Q143" s="14"/>
      <c r="R143" s="14" t="s">
        <v>1170</v>
      </c>
      <c r="S143" s="14" t="s">
        <v>1171</v>
      </c>
      <c r="T143" s="14" t="s">
        <v>1172</v>
      </c>
      <c r="U143" s="218" t="s">
        <v>1173</v>
      </c>
      <c r="V143" s="14"/>
      <c r="W143" s="5"/>
      <c r="X143" s="462"/>
      <c r="Y143" s="5"/>
      <c r="Z143" s="5"/>
      <c r="AA143" s="5" t="e">
        <f>#REF!/AA135/10000</f>
        <v>#REF!</v>
      </c>
      <c r="AB143" s="5"/>
      <c r="AC143" s="5" t="e">
        <f>T151/AC135</f>
        <v>#REF!</v>
      </c>
      <c r="AD143" s="5"/>
      <c r="AE143" s="5"/>
      <c r="AF143" s="5"/>
    </row>
    <row r="144" spans="1:32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 t="e">
        <f>#REF!/#REF!/10000</f>
        <v>#REF!</v>
      </c>
      <c r="L144" s="5"/>
      <c r="M144" s="5" t="e">
        <f>D157/#REF!</f>
        <v>#REF!</v>
      </c>
      <c r="N144" s="5"/>
      <c r="O144" s="5"/>
      <c r="P144" s="5"/>
      <c r="Q144" s="14"/>
      <c r="R144" s="170" t="s">
        <v>1174</v>
      </c>
      <c r="S144" s="170" t="s">
        <v>1174</v>
      </c>
      <c r="T144" s="170" t="s">
        <v>1174</v>
      </c>
      <c r="U144" s="111" t="s">
        <v>1174</v>
      </c>
      <c r="V144" s="14"/>
      <c r="W144" s="5"/>
      <c r="X144" s="5"/>
      <c r="Y144" s="5"/>
      <c r="Z144" s="5"/>
      <c r="AA144" s="5" t="e">
        <f>#REF!/#REF!/10000</f>
        <v>#REF!</v>
      </c>
      <c r="AB144" s="5"/>
      <c r="AC144" s="5" t="e">
        <f>#REF!/#REF!</f>
        <v>#REF!</v>
      </c>
      <c r="AD144" s="5"/>
      <c r="AE144" s="5"/>
      <c r="AF144" s="5"/>
    </row>
    <row r="145" spans="1:32" ht="1.5" customHeight="1" x14ac:dyDescent="0.2">
      <c r="A145" s="121" t="s">
        <v>1169</v>
      </c>
      <c r="B145" s="5"/>
      <c r="C145" s="5"/>
      <c r="D145" s="5"/>
      <c r="E145" s="5"/>
      <c r="F145" s="5"/>
      <c r="G145" s="5"/>
      <c r="H145" s="5"/>
      <c r="I145" s="5"/>
      <c r="J145" s="5"/>
      <c r="K145" s="5" t="e">
        <f>#REF!/K136/10000</f>
        <v>#REF!</v>
      </c>
      <c r="L145" s="5"/>
      <c r="M145" s="5" t="e">
        <f>#REF!/M136</f>
        <v>#REF!</v>
      </c>
      <c r="N145" s="5"/>
      <c r="O145" s="5"/>
      <c r="P145" s="5"/>
      <c r="Q145" s="14">
        <v>1</v>
      </c>
      <c r="R145" s="417">
        <f t="shared" ref="R145:U151" si="34">B149/(25.4*25.4)</f>
        <v>1.1909018252772512</v>
      </c>
      <c r="S145" s="417">
        <f t="shared" si="34"/>
        <v>0</v>
      </c>
      <c r="T145" s="417">
        <f t="shared" si="34"/>
        <v>1.8600037200074402</v>
      </c>
      <c r="U145" s="417">
        <f t="shared" si="34"/>
        <v>1.8600037200074402</v>
      </c>
      <c r="V145" s="264" t="str">
        <f t="shared" ref="V145:V151" si="35">IF(U145&gt;R145,"OK","ERROR")</f>
        <v>OK</v>
      </c>
      <c r="W145" s="265">
        <f t="shared" ref="W145:W151" si="36">U145/R145</f>
        <v>1.5618447134165883</v>
      </c>
      <c r="X145" s="5"/>
      <c r="Y145" s="5"/>
      <c r="Z145" s="5"/>
      <c r="AA145" s="5" t="e">
        <f>#REF!/AA136/10000</f>
        <v>#REF!</v>
      </c>
      <c r="AB145" s="5"/>
      <c r="AC145" s="5" t="e">
        <f>T153/AC136</f>
        <v>#DIV/0!</v>
      </c>
      <c r="AD145" s="5"/>
      <c r="AE145" s="5"/>
      <c r="AF145" s="5"/>
    </row>
    <row r="146" spans="1:32" ht="14.25" customHeight="1" x14ac:dyDescent="0.2">
      <c r="A146" s="5"/>
      <c r="B146" s="14"/>
      <c r="C146" s="14"/>
      <c r="D146" s="14"/>
      <c r="E146" s="14"/>
      <c r="F146" s="1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4">
        <f t="shared" ref="Q146:Q151" si="37">Q145+1</f>
        <v>2</v>
      </c>
      <c r="R146" s="417">
        <f t="shared" si="34"/>
        <v>0.23546250158992396</v>
      </c>
      <c r="S146" s="417">
        <f t="shared" si="34"/>
        <v>0</v>
      </c>
      <c r="T146" s="417">
        <f t="shared" si="34"/>
        <v>1.8600037200074402</v>
      </c>
      <c r="U146" s="417">
        <f t="shared" si="34"/>
        <v>1.8600037200074402</v>
      </c>
      <c r="V146" s="264" t="str">
        <f t="shared" si="35"/>
        <v>OK</v>
      </c>
      <c r="W146" s="265">
        <f t="shared" si="36"/>
        <v>7.8993627751682496</v>
      </c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 ht="19.5" customHeight="1" x14ac:dyDescent="0.2">
      <c r="A147" s="14"/>
      <c r="B147" s="14" t="s">
        <v>1170</v>
      </c>
      <c r="C147" s="14" t="s">
        <v>1171</v>
      </c>
      <c r="D147" s="14" t="s">
        <v>1172</v>
      </c>
      <c r="E147" s="218" t="s">
        <v>1173</v>
      </c>
      <c r="F147" s="1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14">
        <f t="shared" si="37"/>
        <v>3</v>
      </c>
      <c r="R147" s="417">
        <f t="shared" si="34"/>
        <v>0.12420019640777863</v>
      </c>
      <c r="S147" s="417">
        <f t="shared" si="34"/>
        <v>0</v>
      </c>
      <c r="T147" s="417">
        <f t="shared" si="34"/>
        <v>1.8600037200074402</v>
      </c>
      <c r="U147" s="417">
        <f t="shared" si="34"/>
        <v>1.8600037200074402</v>
      </c>
      <c r="V147" s="264" t="str">
        <f t="shared" si="35"/>
        <v>OK</v>
      </c>
      <c r="W147" s="265">
        <f t="shared" si="36"/>
        <v>14.975851679820279</v>
      </c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 x14ac:dyDescent="0.2">
      <c r="A148" s="14"/>
      <c r="B148" s="14" t="s">
        <v>334</v>
      </c>
      <c r="C148" s="14" t="s">
        <v>334</v>
      </c>
      <c r="D148" s="14" t="s">
        <v>334</v>
      </c>
      <c r="E148" s="218" t="s">
        <v>334</v>
      </c>
      <c r="F148" s="1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14">
        <f t="shared" si="37"/>
        <v>4</v>
      </c>
      <c r="R148" s="417">
        <f t="shared" si="34"/>
        <v>-1.4075078951324689E-5</v>
      </c>
      <c r="S148" s="417">
        <f t="shared" si="34"/>
        <v>0</v>
      </c>
      <c r="T148" s="417">
        <f t="shared" si="34"/>
        <v>1.8600037200074402</v>
      </c>
      <c r="U148" s="417">
        <f t="shared" si="34"/>
        <v>1.8600037200074402</v>
      </c>
      <c r="V148" s="264" t="str">
        <f t="shared" si="35"/>
        <v>OK</v>
      </c>
      <c r="W148" s="265">
        <f t="shared" si="36"/>
        <v>-132148.72374356267</v>
      </c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 x14ac:dyDescent="0.2">
      <c r="A149" s="14">
        <v>1</v>
      </c>
      <c r="B149" s="417">
        <f t="shared" ref="B149:B156" si="38">B71*D90*$B$14/(2*$B$17)</f>
        <v>768.32222159587138</v>
      </c>
      <c r="C149" s="417">
        <f t="shared" ref="C149:C156" si="39">0.78*($B$14/2*B90)^0.5*B90</f>
        <v>0</v>
      </c>
      <c r="D149" s="14">
        <f t="shared" ref="D149:D156" si="40">$K$35*$K$36+$B$36*$B$37</f>
        <v>1200</v>
      </c>
      <c r="E149" s="260">
        <f t="shared" ref="E149:E156" si="41">IF(C149&lt;D149,C149+D149,D149*2)</f>
        <v>1200</v>
      </c>
      <c r="F149" s="264" t="str">
        <f t="shared" ref="F149:F156" si="42">IF(E149&gt;B149,"OK","ERROR")</f>
        <v>OK</v>
      </c>
      <c r="G149" s="265">
        <f t="shared" ref="G149:G156" si="43">E149/B149</f>
        <v>1.561844713416588</v>
      </c>
      <c r="H149" s="5"/>
      <c r="I149" s="5"/>
      <c r="J149" s="5"/>
      <c r="K149" s="5"/>
      <c r="L149" s="5"/>
      <c r="M149" s="5"/>
      <c r="N149" s="5"/>
      <c r="O149" s="5"/>
      <c r="P149" s="5"/>
      <c r="Q149" s="14">
        <f t="shared" si="37"/>
        <v>5</v>
      </c>
      <c r="R149" s="417">
        <f t="shared" si="34"/>
        <v>0</v>
      </c>
      <c r="S149" s="417">
        <f t="shared" si="34"/>
        <v>0</v>
      </c>
      <c r="T149" s="417">
        <f t="shared" si="34"/>
        <v>1.8600037200074402</v>
      </c>
      <c r="U149" s="417">
        <f t="shared" si="34"/>
        <v>1.8600037200074402</v>
      </c>
      <c r="V149" s="264" t="str">
        <f t="shared" si="35"/>
        <v>OK</v>
      </c>
      <c r="W149" s="265" t="e">
        <f t="shared" si="36"/>
        <v>#DIV/0!</v>
      </c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 ht="12.75" customHeight="1" x14ac:dyDescent="0.2">
      <c r="A150" s="14">
        <f t="shared" ref="A150:A156" si="44">A149+1</f>
        <v>2</v>
      </c>
      <c r="B150" s="417">
        <f t="shared" si="38"/>
        <v>151.91098752575533</v>
      </c>
      <c r="C150" s="417">
        <f t="shared" si="39"/>
        <v>0</v>
      </c>
      <c r="D150" s="14">
        <f t="shared" si="40"/>
        <v>1200</v>
      </c>
      <c r="E150" s="260">
        <f t="shared" si="41"/>
        <v>1200</v>
      </c>
      <c r="F150" s="264" t="str">
        <f t="shared" si="42"/>
        <v>OK</v>
      </c>
      <c r="G150" s="265">
        <f t="shared" si="43"/>
        <v>7.8993627751682496</v>
      </c>
      <c r="H150" s="5"/>
      <c r="I150" s="5"/>
      <c r="J150" s="5"/>
      <c r="K150" s="5"/>
      <c r="L150" s="5"/>
      <c r="M150" s="5"/>
      <c r="N150" s="5"/>
      <c r="O150" s="5"/>
      <c r="P150" s="5"/>
      <c r="Q150" s="14">
        <f t="shared" si="37"/>
        <v>6</v>
      </c>
      <c r="R150" s="417">
        <f t="shared" si="34"/>
        <v>0</v>
      </c>
      <c r="S150" s="417">
        <f t="shared" si="34"/>
        <v>0</v>
      </c>
      <c r="T150" s="417">
        <f t="shared" si="34"/>
        <v>1.8600037200074402</v>
      </c>
      <c r="U150" s="417">
        <f t="shared" si="34"/>
        <v>1.8600037200074402</v>
      </c>
      <c r="V150" s="264" t="str">
        <f t="shared" si="35"/>
        <v>OK</v>
      </c>
      <c r="W150" s="265" t="e">
        <f t="shared" si="36"/>
        <v>#DIV/0!</v>
      </c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 ht="12.75" customHeight="1" x14ac:dyDescent="0.2">
      <c r="A151" s="14">
        <f t="shared" si="44"/>
        <v>3</v>
      </c>
      <c r="B151" s="417">
        <f t="shared" si="38"/>
        <v>80.12899871444246</v>
      </c>
      <c r="C151" s="417">
        <f t="shared" si="39"/>
        <v>0</v>
      </c>
      <c r="D151" s="14">
        <f t="shared" si="40"/>
        <v>1200</v>
      </c>
      <c r="E151" s="260">
        <f t="shared" si="41"/>
        <v>1200</v>
      </c>
      <c r="F151" s="264" t="str">
        <f t="shared" si="42"/>
        <v>OK</v>
      </c>
      <c r="G151" s="265">
        <f t="shared" si="43"/>
        <v>14.975851679820277</v>
      </c>
      <c r="H151" s="5"/>
      <c r="I151" s="5"/>
      <c r="J151" s="5"/>
      <c r="K151" s="5"/>
      <c r="L151" s="5"/>
      <c r="M151" s="5"/>
      <c r="N151" s="5"/>
      <c r="O151" s="5"/>
      <c r="P151" s="5"/>
      <c r="Q151" s="14">
        <f t="shared" si="37"/>
        <v>7</v>
      </c>
      <c r="R151" s="417">
        <f t="shared" si="34"/>
        <v>0</v>
      </c>
      <c r="S151" s="417">
        <f t="shared" si="34"/>
        <v>0</v>
      </c>
      <c r="T151" s="417">
        <f t="shared" si="34"/>
        <v>1.8600037200074402</v>
      </c>
      <c r="U151" s="417">
        <f t="shared" si="34"/>
        <v>1.8600037200074402</v>
      </c>
      <c r="V151" s="264" t="str">
        <f t="shared" si="35"/>
        <v>OK</v>
      </c>
      <c r="W151" s="265" t="e">
        <f t="shared" si="36"/>
        <v>#DIV/0!</v>
      </c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 x14ac:dyDescent="0.2">
      <c r="A152" s="14">
        <f t="shared" si="44"/>
        <v>4</v>
      </c>
      <c r="B152" s="417">
        <f t="shared" si="38"/>
        <v>-9.0806779362366356E-3</v>
      </c>
      <c r="C152" s="417">
        <f t="shared" si="39"/>
        <v>0</v>
      </c>
      <c r="D152" s="14">
        <f t="shared" si="40"/>
        <v>1200</v>
      </c>
      <c r="E152" s="260">
        <f t="shared" si="41"/>
        <v>1200</v>
      </c>
      <c r="F152" s="264" t="str">
        <f t="shared" si="42"/>
        <v>OK</v>
      </c>
      <c r="G152" s="265">
        <f t="shared" si="43"/>
        <v>-132148.72374356267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 x14ac:dyDescent="0.2">
      <c r="A153" s="14">
        <f t="shared" si="44"/>
        <v>5</v>
      </c>
      <c r="B153" s="417">
        <f t="shared" si="38"/>
        <v>0</v>
      </c>
      <c r="C153" s="417">
        <f t="shared" si="39"/>
        <v>0</v>
      </c>
      <c r="D153" s="14">
        <f t="shared" si="40"/>
        <v>1200</v>
      </c>
      <c r="E153" s="260">
        <f t="shared" si="41"/>
        <v>1200</v>
      </c>
      <c r="F153" s="264" t="str">
        <f t="shared" si="42"/>
        <v>OK</v>
      </c>
      <c r="G153" s="265" t="e">
        <f t="shared" si="43"/>
        <v>#DIV/0!</v>
      </c>
      <c r="H153" s="5"/>
      <c r="I153" s="5"/>
      <c r="J153" s="5"/>
      <c r="K153" s="5"/>
      <c r="L153" s="5"/>
      <c r="M153" s="5"/>
      <c r="N153" s="5"/>
      <c r="O153" s="5"/>
      <c r="P153" s="5"/>
      <c r="Q153" s="5" t="s">
        <v>1175</v>
      </c>
      <c r="R153" s="64" t="s">
        <v>1176</v>
      </c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 x14ac:dyDescent="0.2">
      <c r="A154" s="14">
        <f t="shared" si="44"/>
        <v>6</v>
      </c>
      <c r="B154" s="417">
        <f t="shared" si="38"/>
        <v>0</v>
      </c>
      <c r="C154" s="417">
        <f t="shared" si="39"/>
        <v>0</v>
      </c>
      <c r="D154" s="14">
        <f t="shared" si="40"/>
        <v>1200</v>
      </c>
      <c r="E154" s="260">
        <f t="shared" si="41"/>
        <v>1200</v>
      </c>
      <c r="F154" s="264" t="str">
        <f t="shared" si="42"/>
        <v>OK</v>
      </c>
      <c r="G154" s="265" t="e">
        <f t="shared" si="43"/>
        <v>#DIV/0!</v>
      </c>
      <c r="H154" s="5"/>
      <c r="I154" s="5"/>
      <c r="J154" s="5"/>
      <c r="K154" s="5"/>
      <c r="L154" s="5"/>
      <c r="M154" s="5"/>
      <c r="N154" s="5"/>
      <c r="O154" s="5"/>
      <c r="P154" s="5"/>
      <c r="Q154" s="5" t="s">
        <v>1171</v>
      </c>
      <c r="R154" s="64" t="s">
        <v>1177</v>
      </c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 x14ac:dyDescent="0.2">
      <c r="A155" s="14">
        <f t="shared" si="44"/>
        <v>7</v>
      </c>
      <c r="B155" s="417">
        <f t="shared" si="38"/>
        <v>0</v>
      </c>
      <c r="C155" s="417">
        <f t="shared" si="39"/>
        <v>0</v>
      </c>
      <c r="D155" s="14">
        <f t="shared" si="40"/>
        <v>1200</v>
      </c>
      <c r="E155" s="260">
        <f t="shared" si="41"/>
        <v>1200</v>
      </c>
      <c r="F155" s="264" t="str">
        <f t="shared" si="42"/>
        <v>OK</v>
      </c>
      <c r="G155" s="265" t="e">
        <f t="shared" si="43"/>
        <v>#DIV/0!</v>
      </c>
      <c r="H155" s="5"/>
      <c r="I155" s="5"/>
      <c r="J155" s="5"/>
      <c r="K155" s="5"/>
      <c r="L155" s="5"/>
      <c r="M155" s="5"/>
      <c r="N155" s="5"/>
      <c r="O155" s="5"/>
      <c r="P155" s="5"/>
      <c r="Q155" s="5" t="s">
        <v>1172</v>
      </c>
      <c r="R155" s="64" t="s">
        <v>1178</v>
      </c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1:32" x14ac:dyDescent="0.2">
      <c r="A156" s="14">
        <f t="shared" si="44"/>
        <v>8</v>
      </c>
      <c r="B156" s="417">
        <f t="shared" si="38"/>
        <v>0</v>
      </c>
      <c r="C156" s="417">
        <f t="shared" si="39"/>
        <v>0</v>
      </c>
      <c r="D156" s="14">
        <f t="shared" si="40"/>
        <v>1200</v>
      </c>
      <c r="E156" s="260">
        <f t="shared" si="41"/>
        <v>1200</v>
      </c>
      <c r="F156" s="264" t="str">
        <f t="shared" si="42"/>
        <v>OK</v>
      </c>
      <c r="G156" s="265" t="e">
        <f t="shared" si="43"/>
        <v>#DIV/0!</v>
      </c>
      <c r="H156" s="5"/>
      <c r="I156" s="5"/>
      <c r="J156" s="5"/>
      <c r="K156" s="5"/>
      <c r="L156" s="5"/>
      <c r="M156" s="5"/>
      <c r="N156" s="5"/>
      <c r="O156" s="5"/>
      <c r="P156" s="5"/>
      <c r="Q156" s="5" t="s">
        <v>1173</v>
      </c>
      <c r="R156" s="64" t="s">
        <v>1179</v>
      </c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 x14ac:dyDescent="0.2">
      <c r="A157" s="14"/>
      <c r="B157" s="417"/>
      <c r="C157" s="417"/>
      <c r="D157" s="14"/>
      <c r="E157" s="260"/>
      <c r="F157" s="14"/>
      <c r="G157" s="26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 x14ac:dyDescent="0.2">
      <c r="A158" s="5" t="s">
        <v>1175</v>
      </c>
      <c r="B158" s="64" t="s">
        <v>1176</v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481" t="s">
        <v>1180</v>
      </c>
      <c r="R158" s="433"/>
      <c r="S158" s="433"/>
      <c r="T158" s="433"/>
      <c r="U158" s="433"/>
      <c r="V158" s="433"/>
      <c r="W158" s="433"/>
      <c r="X158" s="433"/>
      <c r="Y158" s="5"/>
      <c r="Z158" s="5"/>
      <c r="AA158" s="5"/>
      <c r="AB158" s="5"/>
      <c r="AC158" s="5"/>
      <c r="AD158" s="5"/>
      <c r="AE158" s="5"/>
      <c r="AF158" s="5"/>
    </row>
    <row r="159" spans="1:32" x14ac:dyDescent="0.2">
      <c r="A159" s="5" t="s">
        <v>1171</v>
      </c>
      <c r="B159" s="64" t="s">
        <v>1177</v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spans="1:32" x14ac:dyDescent="0.2">
      <c r="A160" s="5" t="s">
        <v>1172</v>
      </c>
      <c r="B160" s="64" t="s">
        <v>1178</v>
      </c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101"/>
      <c r="R160" s="466" t="s">
        <v>1181</v>
      </c>
      <c r="S160" s="466" t="s">
        <v>551</v>
      </c>
      <c r="T160" s="466" t="s">
        <v>1182</v>
      </c>
      <c r="U160" s="466" t="s">
        <v>1183</v>
      </c>
      <c r="V160" s="466" t="s">
        <v>1159</v>
      </c>
      <c r="W160" s="466" t="s">
        <v>1172</v>
      </c>
      <c r="X160" s="467"/>
      <c r="Y160" s="5"/>
      <c r="Z160" s="5"/>
      <c r="AA160" s="5"/>
      <c r="AB160" s="5"/>
      <c r="AC160" s="5"/>
      <c r="AD160" s="5"/>
      <c r="AE160" s="5"/>
      <c r="AF160" s="5"/>
    </row>
    <row r="161" spans="1:32" x14ac:dyDescent="0.2">
      <c r="A161" s="5" t="s">
        <v>1173</v>
      </c>
      <c r="B161" s="64" t="s">
        <v>1179</v>
      </c>
      <c r="C161" s="5"/>
      <c r="D161" s="5"/>
      <c r="E161" s="5"/>
      <c r="F161" s="5"/>
      <c r="G161" s="5"/>
      <c r="H161" s="5"/>
      <c r="I161" s="5"/>
      <c r="J161" s="5"/>
      <c r="K161" s="64" t="s">
        <v>1184</v>
      </c>
      <c r="L161" s="5"/>
      <c r="M161" s="5"/>
      <c r="N161" s="64" t="s">
        <v>1185</v>
      </c>
      <c r="O161" s="5"/>
      <c r="P161" s="5"/>
      <c r="Q161" s="101"/>
      <c r="R161" s="466" t="s">
        <v>248</v>
      </c>
      <c r="S161" s="466" t="s">
        <v>1186</v>
      </c>
      <c r="T161" s="466" t="s">
        <v>248</v>
      </c>
      <c r="U161" s="466" t="s">
        <v>248</v>
      </c>
      <c r="V161" s="466" t="s">
        <v>1174</v>
      </c>
      <c r="W161" s="466" t="s">
        <v>1174</v>
      </c>
      <c r="X161" s="101"/>
      <c r="Y161" s="5"/>
      <c r="Z161" s="5"/>
      <c r="AA161" s="5"/>
      <c r="AB161" s="5"/>
      <c r="AC161" s="5"/>
      <c r="AD161" s="5"/>
      <c r="AE161" s="5"/>
      <c r="AF161" s="5"/>
    </row>
    <row r="162" spans="1:32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64" t="s">
        <v>1187</v>
      </c>
      <c r="L162" s="5">
        <f>13.4*(B14/1000*'Main Dimensions Calcs'!L40)^0.5</f>
        <v>172.0885576672662</v>
      </c>
      <c r="M162" s="64" t="s">
        <v>247</v>
      </c>
      <c r="N162" s="64" t="s">
        <v>1187</v>
      </c>
      <c r="O162" s="5">
        <f>13.4*(B14/1000*'Main Dimensions Calcs'!H7)^0.5</f>
        <v>172.0885576672662</v>
      </c>
      <c r="P162" s="64" t="s">
        <v>247</v>
      </c>
      <c r="Q162" s="196" t="s">
        <v>1188</v>
      </c>
      <c r="R162" s="468">
        <f>B167/25.4</f>
        <v>0.98425196850393704</v>
      </c>
      <c r="S162" s="468">
        <f>C167*0.00571</f>
        <v>-5.3319684363977551</v>
      </c>
      <c r="T162" s="468">
        <f>D167/25.4</f>
        <v>6.7751400656404019</v>
      </c>
      <c r="U162" s="468">
        <f>E167/25.4</f>
        <v>15.846151021652053</v>
      </c>
      <c r="V162" s="468">
        <f>6*S162*R20/R22</f>
        <v>-6.5604602064851539E-2</v>
      </c>
      <c r="W162" s="468">
        <f>V162-(T162*'Main Dimensions Calcs'!L40/25.4+R162*U162)</f>
        <v>-17.796112321215425</v>
      </c>
      <c r="X162" s="469" t="str">
        <f>IF(W162&lt;0,"OK","error")</f>
        <v>OK</v>
      </c>
      <c r="Y162" s="5"/>
      <c r="Z162" s="5"/>
      <c r="AA162" s="5"/>
      <c r="AB162" s="5"/>
      <c r="AC162" s="5"/>
      <c r="AD162" s="5"/>
      <c r="AE162" s="5"/>
      <c r="AF162" s="5"/>
    </row>
    <row r="163" spans="1:32" x14ac:dyDescent="0.2">
      <c r="A163" s="121" t="s">
        <v>1180</v>
      </c>
      <c r="B163" s="5"/>
      <c r="C163" s="5"/>
      <c r="D163" s="5"/>
      <c r="E163" s="5"/>
      <c r="F163" s="5"/>
      <c r="G163" s="5"/>
      <c r="H163" s="5"/>
      <c r="I163" s="5"/>
      <c r="J163" s="5"/>
      <c r="K163" s="64" t="s">
        <v>1189</v>
      </c>
      <c r="L163" s="5">
        <f>250*$I$76*1000*$B$20/1000</f>
        <v>-933.79482248647207</v>
      </c>
      <c r="M163" s="5"/>
      <c r="N163" s="64" t="s">
        <v>1189</v>
      </c>
      <c r="O163" s="5">
        <f>250*$I$71*1000*$B$20/1000</f>
        <v>10840.142409825306</v>
      </c>
      <c r="P163" s="5"/>
      <c r="Q163" s="196" t="s">
        <v>1190</v>
      </c>
      <c r="R163" s="468">
        <f>B168/25.4</f>
        <v>0.39370078740157483</v>
      </c>
      <c r="S163" s="468">
        <f>C168*0.00571</f>
        <v>61.897213160102496</v>
      </c>
      <c r="T163" s="468">
        <f>D168/25.4</f>
        <v>6.7751400656404019</v>
      </c>
      <c r="U163" s="468">
        <f>E168/25.4</f>
        <v>10.551181102362206</v>
      </c>
      <c r="V163" s="468">
        <f>F168/(25.4*25.4)</f>
        <v>2.0935288013298479</v>
      </c>
      <c r="W163" s="468">
        <f>G168/(25.4*25.4)</f>
        <v>-4.1943818895656353</v>
      </c>
      <c r="X163" s="469" t="str">
        <f>IF(W163&lt;0,"OK","error")</f>
        <v>OK</v>
      </c>
      <c r="Y163" s="5"/>
      <c r="Z163" s="5"/>
      <c r="AA163" s="5"/>
      <c r="AB163" s="5"/>
      <c r="AC163" s="5"/>
      <c r="AD163" s="5"/>
      <c r="AE163" s="5"/>
      <c r="AF163" s="5"/>
    </row>
    <row r="164" spans="1:32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64" t="s">
        <v>1191</v>
      </c>
      <c r="L164" s="5">
        <f>37.5*L163*($B$14/1000)^3/($B$15*($B$23-1))*10000</f>
        <v>-171034.30507769852</v>
      </c>
      <c r="M164" s="64" t="s">
        <v>1155</v>
      </c>
      <c r="N164" s="64" t="s">
        <v>1191</v>
      </c>
      <c r="O164" s="5">
        <f>37.5*O163*($B$14/1000)^3/($B$15*($B$23-1))*10000</f>
        <v>1985485.6541942528</v>
      </c>
      <c r="P164" s="64" t="s">
        <v>1155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 x14ac:dyDescent="0.2">
      <c r="A165" s="470"/>
      <c r="B165" s="471" t="s">
        <v>1181</v>
      </c>
      <c r="C165" s="471" t="s">
        <v>551</v>
      </c>
      <c r="D165" s="471" t="s">
        <v>1182</v>
      </c>
      <c r="E165" s="471" t="s">
        <v>1183</v>
      </c>
      <c r="F165" s="471" t="s">
        <v>1159</v>
      </c>
      <c r="G165" s="471" t="s">
        <v>1172</v>
      </c>
      <c r="H165" s="467"/>
      <c r="I165" s="5"/>
      <c r="J165" s="5"/>
      <c r="K165" s="64" t="s">
        <v>1159</v>
      </c>
      <c r="L165" s="5">
        <f>L163*$B$14/1000/(2*$B$22)</f>
        <v>-116.34905149511124</v>
      </c>
      <c r="M165" s="64" t="s">
        <v>334</v>
      </c>
      <c r="N165" s="64" t="s">
        <v>1159</v>
      </c>
      <c r="O165" s="5">
        <f>O163*$B$14/1000/(2*$B$22)</f>
        <v>1350.6610414659647</v>
      </c>
      <c r="P165" s="64" t="s">
        <v>334</v>
      </c>
      <c r="Q165" s="5"/>
      <c r="R165" s="466" t="s">
        <v>1191</v>
      </c>
      <c r="S165" s="466" t="s">
        <v>1192</v>
      </c>
      <c r="T165" s="64"/>
      <c r="U165" s="64"/>
      <c r="V165" s="64"/>
      <c r="W165" s="64"/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 x14ac:dyDescent="0.2">
      <c r="A166" s="470"/>
      <c r="B166" s="471" t="s">
        <v>247</v>
      </c>
      <c r="C166" s="471" t="s">
        <v>940</v>
      </c>
      <c r="D166" s="471" t="s">
        <v>247</v>
      </c>
      <c r="E166" s="471" t="s">
        <v>247</v>
      </c>
      <c r="F166" s="471" t="s">
        <v>334</v>
      </c>
      <c r="G166" s="471" t="s">
        <v>334</v>
      </c>
      <c r="H166" s="101"/>
      <c r="I166" s="5"/>
      <c r="J166" s="5"/>
      <c r="K166" s="64" t="s">
        <v>1182</v>
      </c>
      <c r="L166" s="5">
        <f>13.4*($B$14/1000*'Main Dimensions Calcs'!L40)^0.5</f>
        <v>172.0885576672662</v>
      </c>
      <c r="M166" s="64" t="s">
        <v>247</v>
      </c>
      <c r="N166" s="64" t="s">
        <v>1182</v>
      </c>
      <c r="O166" s="5">
        <f>13.4*($B$14/1000*'Main Dimensions Calcs'!H7)^0.5</f>
        <v>172.0885576672662</v>
      </c>
      <c r="P166" s="64" t="s">
        <v>247</v>
      </c>
      <c r="Q166" s="5"/>
      <c r="R166" s="466" t="s">
        <v>1154</v>
      </c>
      <c r="S166" s="466" t="s">
        <v>1154</v>
      </c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 x14ac:dyDescent="0.2">
      <c r="A167" s="471" t="s">
        <v>1188</v>
      </c>
      <c r="B167" s="472">
        <f>'Main Dimensions Calcs'!L42</f>
        <v>25</v>
      </c>
      <c r="C167" s="472">
        <f>L163</f>
        <v>-933.79482248647207</v>
      </c>
      <c r="D167" s="472">
        <f>L166</f>
        <v>172.0885576672662</v>
      </c>
      <c r="E167" s="472">
        <f>'Inner Tank Compression Ring 1'!B31</f>
        <v>402.49223594996215</v>
      </c>
      <c r="F167" s="472">
        <f>6*S162*R20/R22*25.4*25.4</f>
        <v>-42.325465068159616</v>
      </c>
      <c r="G167" s="473">
        <f>L168</f>
        <v>-11555.363411582293</v>
      </c>
      <c r="H167" s="469" t="str">
        <f>IF(G167&lt;0,"OK","error")</f>
        <v>OK</v>
      </c>
      <c r="I167" s="5"/>
      <c r="J167" s="5"/>
      <c r="K167" s="64" t="s">
        <v>1193</v>
      </c>
      <c r="L167" s="306">
        <f>E167</f>
        <v>402.49223594996215</v>
      </c>
      <c r="M167" s="64" t="s">
        <v>247</v>
      </c>
      <c r="N167" s="64" t="s">
        <v>1194</v>
      </c>
      <c r="O167" s="433">
        <f>16*'Inner Vessel Shell Thickness'!B85+'Main Dimensions Calcs'!H7+100</f>
        <v>268</v>
      </c>
      <c r="P167" s="64" t="s">
        <v>247</v>
      </c>
      <c r="Q167" s="293" t="s">
        <v>1188</v>
      </c>
      <c r="R167" s="474">
        <f>684*S162*R14^3/(R15*(R23-1))</f>
        <v>-0.43372203877077387</v>
      </c>
      <c r="S167" s="474">
        <f>C172/(25.4^4)</f>
        <v>283.34844890966684</v>
      </c>
      <c r="T167" s="469" t="str">
        <f>IF(S167/R167&gt;1,"OK","error")</f>
        <v>error</v>
      </c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x14ac:dyDescent="0.2">
      <c r="A168" s="471" t="s">
        <v>1190</v>
      </c>
      <c r="B168" s="472">
        <v>10</v>
      </c>
      <c r="C168" s="472">
        <f>O163</f>
        <v>10840.142409825306</v>
      </c>
      <c r="D168" s="472">
        <f>O166</f>
        <v>172.0885576672662</v>
      </c>
      <c r="E168" s="472">
        <f>O167</f>
        <v>268</v>
      </c>
      <c r="F168" s="472">
        <f>O165</f>
        <v>1350.6610414659647</v>
      </c>
      <c r="G168" s="475">
        <f>O168</f>
        <v>-2706.0474198721649</v>
      </c>
      <c r="H168" s="469" t="str">
        <f>IF(G168&lt;0,"OK","error")</f>
        <v>OK</v>
      </c>
      <c r="I168" s="5"/>
      <c r="J168" s="5"/>
      <c r="K168" s="64" t="s">
        <v>1172</v>
      </c>
      <c r="L168" s="5">
        <f>L165-'Main Dimensions Calcs'!$L$40*L166-L167*'Main Dimensions Calcs'!$L$42</f>
        <v>-11555.363411582293</v>
      </c>
      <c r="M168" s="5"/>
      <c r="N168" s="64" t="s">
        <v>1172</v>
      </c>
      <c r="O168" s="5">
        <f>O165-'Main Dimensions Calcs'!H7*O166-O167*'Inner Vessel Shell Thickness'!B85</f>
        <v>-2706.0474198721649</v>
      </c>
      <c r="P168" s="5"/>
      <c r="Q168" s="293" t="s">
        <v>1190</v>
      </c>
      <c r="R168" s="474">
        <f>B173/(25.4^4)</f>
        <v>4.7701483647760714</v>
      </c>
      <c r="S168" s="474">
        <f>1/12*(('Main Dimensions Calcs'!H7/25.4)^3*T163+U163^3*R163)+U163*R163*(U163/2-2.56)^2</f>
        <v>69.189012147814339</v>
      </c>
      <c r="T168" s="469" t="str">
        <f>IF(S168/R168&gt;1,"OK","error")</f>
        <v>OK</v>
      </c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 x14ac:dyDescent="0.2">
      <c r="A169" s="433"/>
      <c r="B169" s="433"/>
      <c r="C169" s="433"/>
      <c r="D169" s="433"/>
      <c r="E169" s="433"/>
      <c r="F169" s="433"/>
      <c r="G169" s="433"/>
      <c r="H169" s="5"/>
      <c r="I169" s="5"/>
      <c r="J169" s="5"/>
      <c r="K169" s="64" t="s">
        <v>1192</v>
      </c>
      <c r="L169" s="5">
        <f>1/12*((L167*COS(ATAN('Main Dimensions Calcs'!D52/('Main Dimensions Calcs'!D53/2))))^3*'Main Dimensions Calcs'!L42+'Main Dimensions Calcs'!L40^3*L166)</f>
        <v>117938528.83121939</v>
      </c>
      <c r="M169" s="64" t="s">
        <v>334</v>
      </c>
      <c r="N169" s="64" t="s">
        <v>1192</v>
      </c>
      <c r="O169" s="64">
        <f>1/12*('Main Dimensions Calcs'!O173^3*'Inner Vessel Shell Thickness'!B85+O166*'Main Dimensions Calcs'!H7^3)+O167*'Inner Vessel Shell Thickness'!B85*(O167/2-65)^2</f>
        <v>12766822.445127137</v>
      </c>
      <c r="P169" s="64" t="s">
        <v>1155</v>
      </c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 x14ac:dyDescent="0.2">
      <c r="A170" s="433"/>
      <c r="B170" s="471" t="s">
        <v>1191</v>
      </c>
      <c r="C170" s="471" t="s">
        <v>1192</v>
      </c>
      <c r="D170" s="366"/>
      <c r="E170" s="366"/>
      <c r="F170" s="366"/>
      <c r="G170" s="366"/>
      <c r="H170" s="5"/>
      <c r="I170" s="5"/>
      <c r="J170" s="5"/>
      <c r="K170" s="64" t="s">
        <v>1195</v>
      </c>
      <c r="L170" s="5">
        <f>L169/L164</f>
        <v>-689.56066315258533</v>
      </c>
      <c r="M170" s="5"/>
      <c r="N170" s="64" t="s">
        <v>1195</v>
      </c>
      <c r="O170" s="5">
        <f>O169/O164</f>
        <v>6.4300753914578914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 x14ac:dyDescent="0.2">
      <c r="A171" s="433"/>
      <c r="B171" s="471" t="s">
        <v>1155</v>
      </c>
      <c r="C171" s="471" t="s">
        <v>1155</v>
      </c>
      <c r="D171" s="433"/>
      <c r="E171" s="433"/>
      <c r="F171" s="433"/>
      <c r="G171" s="433"/>
      <c r="H171" s="5"/>
      <c r="I171" s="5"/>
      <c r="J171" s="5"/>
      <c r="K171" s="5"/>
      <c r="L171" s="5"/>
      <c r="M171" s="5"/>
      <c r="N171" s="5"/>
      <c r="O171" s="5"/>
      <c r="P171" s="5"/>
      <c r="Q171" s="64" t="s">
        <v>1196</v>
      </c>
      <c r="R171" s="64" t="s">
        <v>1197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1:32" x14ac:dyDescent="0.2">
      <c r="A172" s="476" t="s">
        <v>1188</v>
      </c>
      <c r="B172" s="477">
        <f>L164</f>
        <v>-171034.30507769852</v>
      </c>
      <c r="C172" s="477">
        <f>L169</f>
        <v>117938528.83121939</v>
      </c>
      <c r="D172" s="470" t="str">
        <f>IF(C172/B172&gt;1,"OK","error")</f>
        <v>error</v>
      </c>
      <c r="E172" s="433"/>
      <c r="F172" s="433"/>
      <c r="G172" s="433"/>
      <c r="H172" s="5"/>
      <c r="I172" s="5"/>
      <c r="J172" s="5"/>
      <c r="K172" s="5"/>
      <c r="L172" s="5"/>
      <c r="M172" s="5"/>
      <c r="N172" s="5"/>
      <c r="O172" s="5"/>
      <c r="P172" s="5"/>
      <c r="Q172" s="64" t="s">
        <v>1198</v>
      </c>
      <c r="R172" s="64" t="s">
        <v>1199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spans="1:32" x14ac:dyDescent="0.2">
      <c r="A173" s="476" t="s">
        <v>1190</v>
      </c>
      <c r="B173" s="478">
        <f>O164</f>
        <v>1985485.6541942528</v>
      </c>
      <c r="C173" s="477">
        <f>S168*(25.4^4)</f>
        <v>28798641.162140477</v>
      </c>
      <c r="D173" s="470" t="str">
        <f>IF(C173/B173&gt;1,"OK","error")</f>
        <v>OK</v>
      </c>
      <c r="E173" s="433"/>
      <c r="F173" s="433"/>
      <c r="G173" s="433"/>
      <c r="H173" s="5"/>
      <c r="I173" s="5"/>
      <c r="J173" s="5"/>
      <c r="K173" s="5"/>
      <c r="L173" s="5"/>
      <c r="M173" s="5"/>
      <c r="N173" s="5"/>
      <c r="O173" s="5"/>
      <c r="P173" s="5"/>
      <c r="Q173" s="64" t="s">
        <v>1200</v>
      </c>
      <c r="R173" s="64" t="s">
        <v>1201</v>
      </c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64" t="s">
        <v>1202</v>
      </c>
      <c r="R174" s="64" t="s">
        <v>1203</v>
      </c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64" t="s">
        <v>1204</v>
      </c>
      <c r="R175" s="64" t="s">
        <v>1205</v>
      </c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2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>
        <f>6*S162*$R$14/$R$22</f>
        <v>-0.18033393015586391</v>
      </c>
      <c r="M176" s="5"/>
      <c r="N176" s="64" t="s">
        <v>1206</v>
      </c>
      <c r="O176" s="5">
        <f>132.77*R20/48</f>
        <v>68.062048884514439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1:32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 t="e">
        <f>684*S162*$R$14^3/($R$15*($L$178-1))</f>
        <v>#DIV/0!</v>
      </c>
      <c r="M177" s="5"/>
      <c r="N177" s="5"/>
      <c r="O177" s="5">
        <f>6*S163*$R$14/$R$22</f>
        <v>2.0934421964428647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1:32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64" t="s">
        <v>1207</v>
      </c>
      <c r="L178" s="5" t="e">
        <f>(5.33*R14^3/(0.31*('Main Dimensions Calcs'!N18)^2))^0.5</f>
        <v>#DIV/0!</v>
      </c>
      <c r="M178" s="5"/>
      <c r="N178" s="5"/>
      <c r="O178" s="5" t="e">
        <f>684*S163*$R$14^3/($R$15*($L$178-1))</f>
        <v>#DIV/0!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1:32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6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</sheetData>
  <mergeCells count="88">
    <mergeCell ref="R136:X136"/>
    <mergeCell ref="B137:H138"/>
    <mergeCell ref="R137:X137"/>
    <mergeCell ref="B139:H141"/>
    <mergeCell ref="A122:C122"/>
    <mergeCell ref="E122:F122"/>
    <mergeCell ref="Q122:S122"/>
    <mergeCell ref="U122:V122"/>
    <mergeCell ref="R134:X134"/>
    <mergeCell ref="B135:H135"/>
    <mergeCell ref="B109:G109"/>
    <mergeCell ref="R109:W109"/>
    <mergeCell ref="W121:X121"/>
    <mergeCell ref="A118:C120"/>
    <mergeCell ref="D118:H118"/>
    <mergeCell ref="Q118:S120"/>
    <mergeCell ref="T118:X118"/>
    <mergeCell ref="D119:H119"/>
    <mergeCell ref="T119:X119"/>
    <mergeCell ref="D120:H120"/>
    <mergeCell ref="T120:X120"/>
    <mergeCell ref="A121:C121"/>
    <mergeCell ref="E121:F121"/>
    <mergeCell ref="G121:H121"/>
    <mergeCell ref="Q121:S121"/>
    <mergeCell ref="U121:V121"/>
    <mergeCell ref="W65:X65"/>
    <mergeCell ref="A66:C66"/>
    <mergeCell ref="E66:F66"/>
    <mergeCell ref="Q66:S66"/>
    <mergeCell ref="U66:V66"/>
    <mergeCell ref="A65:C65"/>
    <mergeCell ref="E65:F65"/>
    <mergeCell ref="G65:H65"/>
    <mergeCell ref="Q65:S65"/>
    <mergeCell ref="U65:V65"/>
    <mergeCell ref="A40:H41"/>
    <mergeCell ref="Q40:X41"/>
    <mergeCell ref="D48:H49"/>
    <mergeCell ref="T48:X49"/>
    <mergeCell ref="A62:C64"/>
    <mergeCell ref="D62:H62"/>
    <mergeCell ref="Q62:S64"/>
    <mergeCell ref="T62:X62"/>
    <mergeCell ref="D63:H63"/>
    <mergeCell ref="T63:X63"/>
    <mergeCell ref="D64:H64"/>
    <mergeCell ref="T64:X64"/>
    <mergeCell ref="Y5:AA5"/>
    <mergeCell ref="AC5:AD5"/>
    <mergeCell ref="A7:H10"/>
    <mergeCell ref="Q7:X10"/>
    <mergeCell ref="D23:H24"/>
    <mergeCell ref="T23:X24"/>
    <mergeCell ref="A5:C5"/>
    <mergeCell ref="E5:F5"/>
    <mergeCell ref="I5:K5"/>
    <mergeCell ref="M5:N5"/>
    <mergeCell ref="Q5:S5"/>
    <mergeCell ref="U5:V5"/>
    <mergeCell ref="AE4:AF4"/>
    <mergeCell ref="A4:C4"/>
    <mergeCell ref="E4:F4"/>
    <mergeCell ref="G4:H4"/>
    <mergeCell ref="I4:K4"/>
    <mergeCell ref="M4:N4"/>
    <mergeCell ref="O4:P4"/>
    <mergeCell ref="Q4:S4"/>
    <mergeCell ref="U4:V4"/>
    <mergeCell ref="W4:X4"/>
    <mergeCell ref="Y4:AA4"/>
    <mergeCell ref="AC4:AD4"/>
    <mergeCell ref="Y1:AA3"/>
    <mergeCell ref="AB1:AF1"/>
    <mergeCell ref="D2:H2"/>
    <mergeCell ref="L2:P2"/>
    <mergeCell ref="T2:X2"/>
    <mergeCell ref="AB2:AF2"/>
    <mergeCell ref="D3:H3"/>
    <mergeCell ref="L3:P3"/>
    <mergeCell ref="T3:X3"/>
    <mergeCell ref="AB3:AF3"/>
    <mergeCell ref="T1:X1"/>
    <mergeCell ref="A1:C3"/>
    <mergeCell ref="D1:H1"/>
    <mergeCell ref="I1:K3"/>
    <mergeCell ref="L1:P1"/>
    <mergeCell ref="Q1:S3"/>
  </mergeCells>
  <pageMargins left="0.75" right="0.75" top="1" bottom="1" header="0" footer="0"/>
  <pageSetup paperSize="9" scale="88" fitToHeight="0" orientation="portrait"/>
  <headerFooter alignWithMargins="0">
    <oddFooter>&amp;L&amp;D&amp;R&amp;P/&amp;N</oddFooter>
  </headerFooter>
  <rowBreaks count="4" manualBreakCount="4">
    <brk id="61" max="7" man="1"/>
    <brk id="61" min="16" max="23" man="1"/>
    <brk id="117" max="7" man="1"/>
    <brk id="117" min="16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Y74"/>
  <sheetViews>
    <sheetView topLeftCell="A37" workbookViewId="0">
      <selection activeCell="A4" sqref="A4:C5"/>
    </sheetView>
    <sheetView tabSelected="1" topLeftCell="A47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12.5703125" customWidth="1"/>
    <col min="3" max="3" width="12.140625" customWidth="1"/>
    <col min="4" max="4" width="8.140625" customWidth="1"/>
    <col min="5" max="5" width="8.85546875" customWidth="1"/>
    <col min="6" max="6" width="8.140625" customWidth="1"/>
    <col min="7" max="7" width="9" customWidth="1"/>
    <col min="8" max="8" width="6.140625" customWidth="1"/>
    <col min="9" max="9" width="6.42578125" customWidth="1"/>
    <col min="10" max="10" width="7" customWidth="1"/>
    <col min="11" max="11" width="6.5703125" customWidth="1"/>
    <col min="18" max="18" width="8.140625" customWidth="1"/>
  </cols>
  <sheetData>
    <row r="1" spans="1:25" ht="15.75" customHeight="1" thickTop="1" thickBot="1" x14ac:dyDescent="0.25">
      <c r="A1" s="822"/>
      <c r="B1" s="823"/>
      <c r="C1" s="824"/>
      <c r="D1" s="841" t="str">
        <f>'Front Page'!$A$13</f>
        <v>Mechanical  Calculations</v>
      </c>
      <c r="E1" s="842"/>
      <c r="F1" s="842"/>
      <c r="G1" s="842"/>
      <c r="H1" s="842"/>
      <c r="I1" s="842"/>
      <c r="J1" s="842"/>
      <c r="K1" s="843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6.5" customHeight="1" thickBot="1" x14ac:dyDescent="0.25">
      <c r="A2" s="825"/>
      <c r="B2" s="809"/>
      <c r="C2" s="826"/>
      <c r="D2" s="840"/>
      <c r="E2" s="831"/>
      <c r="F2" s="831"/>
      <c r="G2" s="831"/>
      <c r="H2" s="831"/>
      <c r="I2" s="831"/>
      <c r="J2" s="831"/>
      <c r="K2" s="83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6.5" customHeight="1" thickBot="1" x14ac:dyDescent="0.25">
      <c r="A3" s="827"/>
      <c r="B3" s="828"/>
      <c r="C3" s="829"/>
      <c r="D3" s="840" t="s">
        <v>0</v>
      </c>
      <c r="E3" s="831"/>
      <c r="F3" s="831"/>
      <c r="G3" s="831"/>
      <c r="H3" s="831"/>
      <c r="I3" s="831"/>
      <c r="J3" s="831"/>
      <c r="K3" s="83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6.5" customHeight="1" thickBot="1" x14ac:dyDescent="0.3">
      <c r="A4" s="830"/>
      <c r="B4" s="831"/>
      <c r="C4" s="832"/>
      <c r="D4" s="839" t="s">
        <v>1</v>
      </c>
      <c r="E4" s="832"/>
      <c r="F4" s="846"/>
      <c r="G4" s="832"/>
      <c r="H4" s="845" t="s">
        <v>2</v>
      </c>
      <c r="I4" s="832"/>
      <c r="J4" s="846"/>
      <c r="K4" s="832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6.5" customHeight="1" thickBot="1" x14ac:dyDescent="0.3">
      <c r="A5" s="833"/>
      <c r="B5" s="834"/>
      <c r="C5" s="835"/>
      <c r="D5" s="838" t="s">
        <v>4</v>
      </c>
      <c r="E5" s="835"/>
      <c r="F5" s="899"/>
      <c r="G5" s="835"/>
      <c r="H5" s="844" t="s">
        <v>5</v>
      </c>
      <c r="I5" s="835"/>
      <c r="J5" s="899"/>
      <c r="K5" s="83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thickTop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0.25" customHeight="1" x14ac:dyDescent="0.3">
      <c r="A7" s="63" t="s">
        <v>39</v>
      </c>
      <c r="B7" s="64"/>
      <c r="C7" s="64"/>
      <c r="D7" s="64"/>
      <c r="E7" s="64"/>
      <c r="F7" s="64"/>
      <c r="G7" s="64"/>
      <c r="H7" s="5"/>
      <c r="I7" s="5"/>
      <c r="J7" s="5"/>
      <c r="K7" s="5"/>
      <c r="L7" s="5"/>
      <c r="M7" s="5"/>
      <c r="N7" s="5"/>
      <c r="O7" s="5"/>
      <c r="P7" s="63"/>
      <c r="Q7" s="64"/>
      <c r="R7" s="64"/>
      <c r="S7" s="64"/>
      <c r="T7" s="64"/>
      <c r="U7" s="64"/>
      <c r="V7" s="64"/>
      <c r="W7" s="5"/>
      <c r="X7" s="5"/>
      <c r="Y7" s="5"/>
    </row>
    <row r="8" spans="1:25" ht="8.25" customHeight="1" x14ac:dyDescent="0.2">
      <c r="A8" s="64"/>
      <c r="B8" s="64"/>
      <c r="C8" s="64"/>
      <c r="D8" s="64"/>
      <c r="E8" s="64"/>
      <c r="F8" s="64"/>
      <c r="G8" s="5"/>
      <c r="H8" s="65"/>
      <c r="I8" s="5"/>
      <c r="J8" s="5"/>
      <c r="K8" s="5"/>
      <c r="L8" s="5"/>
      <c r="M8" s="5"/>
      <c r="N8" s="5"/>
      <c r="O8" s="5"/>
      <c r="P8" s="64"/>
      <c r="Q8" s="64"/>
      <c r="R8" s="64"/>
      <c r="S8" s="64"/>
      <c r="T8" s="64"/>
      <c r="U8" s="64"/>
      <c r="V8" s="5"/>
      <c r="W8" s="65"/>
      <c r="X8" s="5"/>
      <c r="Y8" s="5"/>
    </row>
    <row r="9" spans="1:25" ht="15.75" customHeight="1" x14ac:dyDescent="0.2">
      <c r="A9" s="66" t="s">
        <v>5</v>
      </c>
      <c r="B9" s="64"/>
      <c r="C9" s="64"/>
      <c r="D9" s="64"/>
      <c r="E9" s="64"/>
      <c r="F9" s="64"/>
      <c r="G9" s="5"/>
      <c r="H9" s="65"/>
      <c r="I9" s="5"/>
      <c r="J9" s="66" t="s">
        <v>40</v>
      </c>
      <c r="K9" s="5"/>
      <c r="L9" s="5"/>
      <c r="M9" s="5"/>
      <c r="N9" s="5"/>
      <c r="O9" s="5"/>
      <c r="P9" s="66"/>
      <c r="Q9" s="64"/>
      <c r="R9" s="64"/>
      <c r="S9" s="64"/>
      <c r="T9" s="64"/>
      <c r="U9" s="64"/>
      <c r="V9" s="5"/>
      <c r="W9" s="65"/>
      <c r="X9" s="5"/>
      <c r="Y9" s="66"/>
    </row>
    <row r="10" spans="1:25" ht="14.25" customHeight="1" x14ac:dyDescent="0.2">
      <c r="A10" s="67">
        <f>$J$5</f>
        <v>0</v>
      </c>
      <c r="B10" s="68" t="s">
        <v>41</v>
      </c>
      <c r="C10" s="69" t="s">
        <v>42</v>
      </c>
      <c r="D10" s="69"/>
      <c r="E10" s="69"/>
      <c r="F10" s="69"/>
      <c r="G10" s="69"/>
      <c r="H10" s="69"/>
      <c r="I10" s="69"/>
      <c r="J10" s="70">
        <v>2</v>
      </c>
      <c r="K10" s="71"/>
      <c r="L10" s="71"/>
      <c r="M10" s="5"/>
      <c r="N10" s="5"/>
      <c r="O10" s="5"/>
      <c r="P10" s="67"/>
      <c r="Q10" s="68"/>
      <c r="R10" s="71"/>
      <c r="S10" s="71"/>
      <c r="T10" s="71"/>
      <c r="U10" s="71"/>
      <c r="V10" s="71"/>
      <c r="W10" s="71"/>
      <c r="X10" s="71"/>
      <c r="Y10" s="70"/>
    </row>
    <row r="11" spans="1:25" ht="14.25" customHeight="1" x14ac:dyDescent="0.2">
      <c r="A11" s="67">
        <f>$J$5</f>
        <v>0</v>
      </c>
      <c r="B11" s="68" t="s">
        <v>43</v>
      </c>
      <c r="C11" s="69" t="s">
        <v>44</v>
      </c>
      <c r="D11" s="69"/>
      <c r="E11" s="69"/>
      <c r="F11" s="69"/>
      <c r="G11" s="69"/>
      <c r="H11" s="69"/>
      <c r="I11" s="69"/>
      <c r="J11" s="70">
        <v>4</v>
      </c>
      <c r="K11" s="71"/>
      <c r="L11" s="71"/>
      <c r="M11" s="5"/>
      <c r="N11" s="5"/>
      <c r="O11" s="5"/>
      <c r="P11" s="67"/>
      <c r="Q11" s="68"/>
      <c r="R11" s="71"/>
      <c r="S11" s="71"/>
      <c r="T11" s="71"/>
      <c r="U11" s="71"/>
      <c r="V11" s="71"/>
      <c r="W11" s="71"/>
      <c r="X11" s="71"/>
      <c r="Y11" s="70"/>
    </row>
    <row r="12" spans="1:25" ht="14.25" customHeight="1" x14ac:dyDescent="0.2">
      <c r="A12" s="67">
        <f>$J$5</f>
        <v>0</v>
      </c>
      <c r="B12" s="68" t="s">
        <v>45</v>
      </c>
      <c r="C12" s="69" t="s">
        <v>46</v>
      </c>
      <c r="D12" s="69"/>
      <c r="E12" s="69"/>
      <c r="F12" s="69"/>
      <c r="G12" s="69"/>
      <c r="H12" s="69"/>
      <c r="I12" s="69"/>
      <c r="J12" s="70">
        <v>5</v>
      </c>
      <c r="K12" s="71"/>
      <c r="L12" s="72"/>
      <c r="M12" s="5"/>
      <c r="N12" s="5"/>
      <c r="O12" s="5"/>
      <c r="P12" s="67"/>
      <c r="Q12" s="68"/>
      <c r="R12" s="71"/>
      <c r="S12" s="71"/>
      <c r="T12" s="71"/>
      <c r="U12" s="71"/>
      <c r="V12" s="71"/>
      <c r="W12" s="71"/>
      <c r="X12" s="71"/>
      <c r="Y12" s="70"/>
    </row>
    <row r="13" spans="1:25" ht="14.25" customHeight="1" x14ac:dyDescent="0.2">
      <c r="A13" s="67">
        <f>$J$5</f>
        <v>0</v>
      </c>
      <c r="B13" s="68" t="s">
        <v>47</v>
      </c>
      <c r="C13" s="64" t="s">
        <v>48</v>
      </c>
      <c r="D13" s="64"/>
      <c r="E13" s="64"/>
      <c r="F13" s="64"/>
      <c r="G13" s="64"/>
      <c r="H13" s="64"/>
      <c r="I13" s="64"/>
      <c r="J13" s="70">
        <v>7</v>
      </c>
      <c r="K13" s="71"/>
      <c r="L13" s="71"/>
      <c r="M13" s="5"/>
      <c r="N13" s="5"/>
      <c r="O13" s="5"/>
      <c r="P13" s="67"/>
      <c r="Q13" s="68"/>
      <c r="R13" s="68"/>
      <c r="S13" s="68"/>
      <c r="T13" s="68"/>
      <c r="U13" s="68"/>
      <c r="V13" s="68"/>
      <c r="W13" s="68"/>
      <c r="X13" s="68"/>
      <c r="Y13" s="70"/>
    </row>
    <row r="14" spans="1:25" ht="14.25" customHeight="1" x14ac:dyDescent="0.2">
      <c r="A14" s="67">
        <f>$J$5</f>
        <v>0</v>
      </c>
      <c r="B14" s="68" t="s">
        <v>49</v>
      </c>
      <c r="C14" s="901" t="s">
        <v>50</v>
      </c>
      <c r="D14" s="809"/>
      <c r="E14" s="809"/>
      <c r="F14" s="809"/>
      <c r="G14" s="809"/>
      <c r="H14" s="809"/>
      <c r="I14" s="809"/>
      <c r="J14" s="74">
        <v>8</v>
      </c>
      <c r="K14" s="75"/>
      <c r="L14" s="75"/>
      <c r="M14" s="5"/>
      <c r="N14" s="5"/>
      <c r="O14" s="5"/>
      <c r="P14" s="67"/>
      <c r="Q14" s="68"/>
      <c r="R14" s="895"/>
      <c r="S14" s="809"/>
      <c r="T14" s="809"/>
      <c r="U14" s="809"/>
      <c r="V14" s="809"/>
      <c r="W14" s="809"/>
      <c r="X14" s="809"/>
      <c r="Y14" s="74"/>
    </row>
    <row r="15" spans="1:25" x14ac:dyDescent="0.2">
      <c r="A15" s="64"/>
      <c r="B15" s="64"/>
      <c r="C15" s="73"/>
      <c r="D15" s="73"/>
      <c r="E15" s="73"/>
      <c r="F15" s="73"/>
      <c r="G15" s="73"/>
      <c r="H15" s="73"/>
      <c r="I15" s="73"/>
      <c r="J15" s="76"/>
      <c r="K15" s="77"/>
      <c r="L15" s="77"/>
      <c r="M15" s="5"/>
      <c r="N15" s="5"/>
      <c r="O15" s="5"/>
      <c r="P15" s="64"/>
      <c r="Q15" s="64"/>
      <c r="R15" s="73"/>
      <c r="S15" s="73"/>
      <c r="T15" s="73"/>
      <c r="U15" s="73"/>
      <c r="V15" s="73"/>
      <c r="W15" s="73"/>
      <c r="X15" s="73"/>
      <c r="Y15" s="76"/>
    </row>
    <row r="16" spans="1:25" x14ac:dyDescent="0.2">
      <c r="A16" s="5"/>
      <c r="B16" s="5"/>
      <c r="C16" s="5"/>
      <c r="D16" s="5"/>
      <c r="E16" s="5"/>
      <c r="F16" s="5"/>
      <c r="G16" s="5"/>
      <c r="H16" s="5"/>
      <c r="I16" s="5"/>
      <c r="J16" s="78"/>
      <c r="K16" s="77"/>
      <c r="L16" s="7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78"/>
    </row>
    <row r="17" spans="1:25" ht="15.75" customHeight="1" x14ac:dyDescent="0.2">
      <c r="A17" s="66" t="s">
        <v>5</v>
      </c>
      <c r="B17" s="79" t="s">
        <v>51</v>
      </c>
      <c r="C17" s="80"/>
      <c r="D17" s="80"/>
      <c r="E17" s="81"/>
      <c r="F17" s="81"/>
      <c r="G17" s="81"/>
      <c r="H17" s="82"/>
      <c r="I17" s="83"/>
      <c r="J17" s="78"/>
      <c r="K17" s="5"/>
      <c r="L17" s="5"/>
      <c r="M17" s="5"/>
      <c r="N17" s="5"/>
      <c r="O17" s="5"/>
      <c r="P17" s="66"/>
      <c r="Q17" s="79"/>
      <c r="R17" s="80"/>
      <c r="S17" s="80"/>
      <c r="T17" s="81"/>
      <c r="U17" s="81"/>
      <c r="V17" s="81"/>
      <c r="W17" s="82"/>
      <c r="X17" s="83"/>
      <c r="Y17" s="78"/>
    </row>
    <row r="18" spans="1:25" ht="14.25" customHeight="1" x14ac:dyDescent="0.2">
      <c r="A18" s="67">
        <f t="shared" ref="A18:A25" si="0">$J$5</f>
        <v>0</v>
      </c>
      <c r="B18" s="84" t="s">
        <v>52</v>
      </c>
      <c r="C18" s="81" t="s">
        <v>53</v>
      </c>
      <c r="D18" s="81"/>
      <c r="E18" s="81"/>
      <c r="F18" s="81"/>
      <c r="G18" s="81"/>
      <c r="H18" s="81"/>
      <c r="I18" s="81"/>
      <c r="J18" s="78">
        <v>10</v>
      </c>
      <c r="K18" s="5"/>
      <c r="L18" s="72"/>
      <c r="M18" s="5"/>
      <c r="N18" s="83"/>
      <c r="O18" s="83"/>
      <c r="P18" s="83"/>
      <c r="Q18" s="83"/>
      <c r="R18" s="83"/>
      <c r="S18" s="84"/>
      <c r="T18" s="84"/>
      <c r="U18" s="84"/>
      <c r="V18" s="84"/>
      <c r="W18" s="81"/>
      <c r="X18" s="82"/>
      <c r="Y18" s="78"/>
    </row>
    <row r="19" spans="1:25" ht="14.25" customHeight="1" x14ac:dyDescent="0.2">
      <c r="A19" s="67">
        <f t="shared" si="0"/>
        <v>0</v>
      </c>
      <c r="B19" s="84" t="s">
        <v>54</v>
      </c>
      <c r="C19" s="81" t="s">
        <v>55</v>
      </c>
      <c r="D19" s="81"/>
      <c r="E19" s="81"/>
      <c r="F19" s="81"/>
      <c r="G19" s="81"/>
      <c r="H19" s="81"/>
      <c r="I19" s="81"/>
      <c r="J19" s="78">
        <v>13</v>
      </c>
      <c r="K19" s="5"/>
      <c r="L19" s="72"/>
      <c r="M19" s="5"/>
      <c r="N19" s="5"/>
      <c r="O19" s="5"/>
      <c r="P19" s="85"/>
      <c r="Q19" s="81"/>
      <c r="R19" s="84"/>
      <c r="S19" s="84"/>
      <c r="T19" s="84"/>
      <c r="U19" s="84"/>
      <c r="V19" s="84"/>
      <c r="W19" s="81"/>
      <c r="X19" s="82"/>
      <c r="Y19" s="78"/>
    </row>
    <row r="20" spans="1:25" ht="15" customHeight="1" x14ac:dyDescent="0.2">
      <c r="A20" s="67">
        <f t="shared" si="0"/>
        <v>0</v>
      </c>
      <c r="B20" s="84" t="s">
        <v>56</v>
      </c>
      <c r="C20" s="81" t="s">
        <v>57</v>
      </c>
      <c r="D20" s="81"/>
      <c r="E20" s="81"/>
      <c r="F20" s="81"/>
      <c r="G20" s="81"/>
      <c r="H20" s="81"/>
      <c r="I20" s="81"/>
      <c r="J20" s="78">
        <v>15</v>
      </c>
      <c r="K20" s="64"/>
      <c r="L20" s="72"/>
      <c r="M20" s="5"/>
      <c r="N20" s="5"/>
      <c r="O20" s="5"/>
      <c r="P20" s="76"/>
      <c r="Q20" s="86"/>
      <c r="R20" s="896"/>
      <c r="S20" s="809"/>
      <c r="T20" s="809"/>
      <c r="U20" s="809"/>
      <c r="V20" s="809"/>
      <c r="W20" s="809"/>
      <c r="X20" s="809"/>
      <c r="Y20" s="76"/>
    </row>
    <row r="21" spans="1:25" ht="16.5" customHeight="1" x14ac:dyDescent="0.2">
      <c r="A21" s="67">
        <f t="shared" si="0"/>
        <v>0</v>
      </c>
      <c r="B21" s="84" t="s">
        <v>58</v>
      </c>
      <c r="C21" s="900" t="s">
        <v>59</v>
      </c>
      <c r="D21" s="809"/>
      <c r="E21" s="809"/>
      <c r="F21" s="809"/>
      <c r="G21" s="809"/>
      <c r="H21" s="809"/>
      <c r="I21" s="809"/>
      <c r="J21" s="76">
        <v>17</v>
      </c>
      <c r="K21" s="64"/>
      <c r="L21" s="72"/>
      <c r="M21" s="5"/>
      <c r="N21" s="5"/>
      <c r="O21" s="5"/>
      <c r="P21" s="85"/>
      <c r="Q21" s="86"/>
      <c r="R21" s="84"/>
      <c r="S21" s="88"/>
      <c r="T21" s="88"/>
      <c r="U21" s="88"/>
      <c r="V21" s="88"/>
      <c r="W21" s="83"/>
      <c r="X21" s="82"/>
      <c r="Y21" s="78"/>
    </row>
    <row r="22" spans="1:25" ht="15.75" customHeight="1" x14ac:dyDescent="0.2">
      <c r="A22" s="67">
        <f t="shared" si="0"/>
        <v>0</v>
      </c>
      <c r="B22" s="84" t="s">
        <v>60</v>
      </c>
      <c r="C22" s="81" t="s">
        <v>61</v>
      </c>
      <c r="D22" s="89"/>
      <c r="E22" s="89"/>
      <c r="F22" s="89"/>
      <c r="G22" s="89"/>
      <c r="H22" s="83"/>
      <c r="I22" s="81"/>
      <c r="J22" s="78">
        <v>21</v>
      </c>
      <c r="K22" s="90"/>
      <c r="L22" s="72"/>
      <c r="M22" s="5"/>
      <c r="N22" s="5"/>
      <c r="O22" s="5"/>
      <c r="P22" s="78"/>
      <c r="Q22" s="86"/>
      <c r="R22" s="84"/>
      <c r="S22" s="91"/>
      <c r="T22" s="91"/>
      <c r="U22" s="91"/>
      <c r="V22" s="91"/>
      <c r="W22" s="83"/>
      <c r="X22" s="82"/>
      <c r="Y22" s="78"/>
    </row>
    <row r="23" spans="1:25" ht="18.600000000000001" customHeight="1" x14ac:dyDescent="0.2">
      <c r="A23" s="67">
        <f t="shared" si="0"/>
        <v>0</v>
      </c>
      <c r="B23" s="84" t="s">
        <v>62</v>
      </c>
      <c r="C23" s="81" t="s">
        <v>63</v>
      </c>
      <c r="D23" s="5"/>
      <c r="E23" s="5"/>
      <c r="F23" s="5"/>
      <c r="G23" s="5"/>
      <c r="H23" s="5"/>
      <c r="I23" s="81"/>
      <c r="J23" s="78">
        <v>24</v>
      </c>
      <c r="K23" s="77"/>
      <c r="L23" s="5"/>
      <c r="M23" s="83"/>
      <c r="N23" s="83"/>
      <c r="O23" s="5"/>
      <c r="P23" s="85"/>
      <c r="Q23" s="86"/>
      <c r="R23" s="84"/>
      <c r="S23" s="84"/>
      <c r="T23" s="84"/>
      <c r="U23" s="84"/>
      <c r="V23" s="84"/>
      <c r="W23" s="81"/>
      <c r="X23" s="82"/>
      <c r="Y23" s="78"/>
    </row>
    <row r="24" spans="1:25" ht="14.25" customHeight="1" x14ac:dyDescent="0.2">
      <c r="A24" s="67">
        <f t="shared" si="0"/>
        <v>0</v>
      </c>
      <c r="B24" s="84" t="s">
        <v>62</v>
      </c>
      <c r="C24" s="81" t="s">
        <v>64</v>
      </c>
      <c r="D24" s="5"/>
      <c r="E24" s="5"/>
      <c r="F24" s="5"/>
      <c r="G24" s="5"/>
      <c r="H24" s="5"/>
      <c r="I24" s="5"/>
      <c r="J24" s="78">
        <v>27</v>
      </c>
      <c r="K24" s="90"/>
      <c r="L24" s="5"/>
      <c r="M24" s="5"/>
      <c r="N24" s="5"/>
      <c r="O24" s="5"/>
      <c r="P24" s="85"/>
      <c r="Q24" s="82"/>
      <c r="R24" s="82"/>
      <c r="S24" s="81"/>
      <c r="T24" s="81"/>
      <c r="U24" s="81"/>
      <c r="V24" s="81"/>
      <c r="W24" s="81"/>
      <c r="X24" s="82"/>
      <c r="Y24" s="78"/>
    </row>
    <row r="25" spans="1:25" ht="14.25" customHeight="1" x14ac:dyDescent="0.2">
      <c r="A25" s="67">
        <f t="shared" si="0"/>
        <v>0</v>
      </c>
      <c r="B25" s="84" t="s">
        <v>65</v>
      </c>
      <c r="C25" s="81" t="s">
        <v>66</v>
      </c>
      <c r="D25" s="81"/>
      <c r="E25" s="81"/>
      <c r="F25" s="81"/>
      <c r="G25" s="81"/>
      <c r="H25" s="81"/>
      <c r="I25" s="81"/>
      <c r="J25" s="78">
        <v>29</v>
      </c>
      <c r="K25" s="64"/>
      <c r="L25" s="5"/>
      <c r="M25" s="5"/>
      <c r="N25" s="5"/>
      <c r="O25" s="5"/>
      <c r="P25" s="85"/>
      <c r="Q25" s="81"/>
      <c r="R25" s="81"/>
      <c r="S25" s="81"/>
      <c r="T25" s="81"/>
      <c r="U25" s="81"/>
      <c r="V25" s="81"/>
      <c r="W25" s="81"/>
      <c r="X25" s="82"/>
      <c r="Y25" s="78"/>
    </row>
    <row r="26" spans="1:25" ht="6.75" customHeight="1" x14ac:dyDescent="0.2">
      <c r="A26" s="85"/>
      <c r="B26" s="82"/>
      <c r="C26" s="82"/>
      <c r="D26" s="81"/>
      <c r="E26" s="81"/>
      <c r="F26" s="81"/>
      <c r="G26" s="81"/>
      <c r="H26" s="81"/>
      <c r="I26" s="82"/>
      <c r="J26" s="78"/>
      <c r="K26" s="64"/>
      <c r="L26" s="5"/>
      <c r="M26" s="5"/>
      <c r="N26" s="5"/>
      <c r="O26" s="5"/>
      <c r="P26" s="66"/>
      <c r="Q26" s="79"/>
      <c r="R26" s="80"/>
      <c r="S26" s="80"/>
      <c r="T26" s="80"/>
      <c r="U26" s="80"/>
      <c r="V26" s="80"/>
      <c r="W26" s="80"/>
      <c r="X26" s="80"/>
      <c r="Y26" s="92"/>
    </row>
    <row r="27" spans="1:25" ht="14.25" customHeight="1" x14ac:dyDescent="0.2">
      <c r="A27" s="85"/>
      <c r="B27" s="81"/>
      <c r="C27" s="81"/>
      <c r="D27" s="81"/>
      <c r="E27" s="81"/>
      <c r="F27" s="81"/>
      <c r="G27" s="81"/>
      <c r="H27" s="81"/>
      <c r="I27" s="82"/>
      <c r="J27" s="78"/>
      <c r="K27" s="64"/>
      <c r="L27" s="5"/>
      <c r="M27" s="5"/>
      <c r="N27" s="5"/>
      <c r="O27" s="5"/>
      <c r="P27" s="70"/>
      <c r="Q27" s="84"/>
      <c r="R27" s="84"/>
      <c r="S27" s="84"/>
      <c r="T27" s="84"/>
      <c r="U27" s="84"/>
      <c r="V27" s="84"/>
      <c r="W27" s="84"/>
      <c r="X27" s="84"/>
      <c r="Y27" s="70"/>
    </row>
    <row r="28" spans="1:25" ht="14.25" customHeight="1" x14ac:dyDescent="0.2">
      <c r="A28" s="66" t="s">
        <v>5</v>
      </c>
      <c r="B28" s="79" t="s">
        <v>67</v>
      </c>
      <c r="C28" s="80"/>
      <c r="D28" s="80"/>
      <c r="E28" s="80"/>
      <c r="F28" s="80"/>
      <c r="G28" s="80"/>
      <c r="H28" s="80"/>
      <c r="I28" s="80"/>
      <c r="J28" s="92"/>
      <c r="K28" s="64"/>
      <c r="L28" s="5"/>
      <c r="M28" s="5"/>
      <c r="N28" s="5"/>
      <c r="O28" s="5"/>
      <c r="P28" s="74"/>
      <c r="Q28" s="88"/>
      <c r="R28" s="896"/>
      <c r="S28" s="809"/>
      <c r="T28" s="809"/>
      <c r="U28" s="809"/>
      <c r="V28" s="809"/>
      <c r="W28" s="809"/>
      <c r="X28" s="809"/>
      <c r="Y28" s="74"/>
    </row>
    <row r="29" spans="1:25" ht="19.5" customHeight="1" x14ac:dyDescent="0.2">
      <c r="A29" s="67">
        <f>$J$5</f>
        <v>0</v>
      </c>
      <c r="B29" s="93" t="s">
        <v>68</v>
      </c>
      <c r="C29" s="898" t="s">
        <v>53</v>
      </c>
      <c r="D29" s="809"/>
      <c r="E29" s="809"/>
      <c r="F29" s="809"/>
      <c r="G29" s="809"/>
      <c r="H29" s="809"/>
      <c r="I29" s="809"/>
      <c r="J29" s="94">
        <v>33</v>
      </c>
      <c r="K29" s="64"/>
      <c r="L29" s="72"/>
      <c r="M29" s="5"/>
      <c r="N29" s="5"/>
      <c r="O29" s="5"/>
      <c r="P29" s="74"/>
      <c r="Q29" s="84"/>
      <c r="R29" s="84"/>
      <c r="S29" s="87"/>
      <c r="T29" s="87"/>
      <c r="U29" s="87"/>
      <c r="V29" s="87"/>
      <c r="W29" s="87"/>
      <c r="X29" s="87"/>
      <c r="Y29" s="74"/>
    </row>
    <row r="30" spans="1:25" ht="30.75" customHeight="1" x14ac:dyDescent="0.2">
      <c r="A30" s="67">
        <f>$J$5</f>
        <v>0</v>
      </c>
      <c r="B30" s="95" t="s">
        <v>69</v>
      </c>
      <c r="C30" s="898" t="s">
        <v>70</v>
      </c>
      <c r="D30" s="809"/>
      <c r="E30" s="809"/>
      <c r="F30" s="809"/>
      <c r="G30" s="809"/>
      <c r="H30" s="809"/>
      <c r="I30" s="809"/>
      <c r="J30" s="96">
        <v>37</v>
      </c>
      <c r="K30" s="64"/>
      <c r="L30" s="72"/>
      <c r="M30" s="5"/>
      <c r="N30" s="5"/>
      <c r="O30" s="5"/>
      <c r="P30" s="74"/>
      <c r="Q30" s="84"/>
      <c r="R30" s="84"/>
      <c r="S30" s="87"/>
      <c r="T30" s="87"/>
      <c r="U30" s="87"/>
      <c r="V30" s="87"/>
      <c r="W30" s="87"/>
      <c r="X30" s="87"/>
      <c r="Y30" s="74"/>
    </row>
    <row r="31" spans="1:25" ht="16.5" customHeight="1" x14ac:dyDescent="0.2">
      <c r="A31" s="67">
        <f>$J$5</f>
        <v>0</v>
      </c>
      <c r="B31" s="93" t="s">
        <v>71</v>
      </c>
      <c r="C31" s="97" t="s">
        <v>61</v>
      </c>
      <c r="D31" s="98"/>
      <c r="E31" s="98"/>
      <c r="F31" s="98"/>
      <c r="G31" s="98"/>
      <c r="H31" s="98"/>
      <c r="I31" s="97"/>
      <c r="J31" s="96">
        <v>39</v>
      </c>
      <c r="K31" s="77"/>
      <c r="L31" s="5"/>
      <c r="M31" s="5"/>
      <c r="N31" s="5"/>
      <c r="O31" s="5"/>
      <c r="P31" s="70"/>
      <c r="Q31" s="84"/>
      <c r="R31" s="84"/>
      <c r="S31" s="88"/>
      <c r="T31" s="88"/>
      <c r="U31" s="88"/>
      <c r="V31" s="88"/>
      <c r="W31" s="88"/>
      <c r="X31" s="84"/>
      <c r="Y31" s="70"/>
    </row>
    <row r="32" spans="1:25" ht="14.25" customHeight="1" x14ac:dyDescent="0.2">
      <c r="A32" s="67">
        <f>$J$5</f>
        <v>0</v>
      </c>
      <c r="B32" s="93" t="s">
        <v>72</v>
      </c>
      <c r="C32" s="898" t="s">
        <v>73</v>
      </c>
      <c r="D32" s="809"/>
      <c r="E32" s="809"/>
      <c r="F32" s="809"/>
      <c r="G32" s="809"/>
      <c r="H32" s="809"/>
      <c r="I32" s="809"/>
      <c r="J32" s="96">
        <v>41</v>
      </c>
      <c r="K32" s="77"/>
      <c r="L32" s="5"/>
      <c r="M32" s="5"/>
      <c r="N32" s="5"/>
      <c r="O32" s="5"/>
      <c r="P32" s="85"/>
      <c r="Q32" s="68"/>
      <c r="R32" s="68"/>
      <c r="S32" s="84"/>
      <c r="T32" s="84"/>
      <c r="U32" s="84"/>
      <c r="V32" s="84"/>
      <c r="W32" s="81"/>
      <c r="X32" s="82"/>
      <c r="Y32" s="78"/>
    </row>
    <row r="33" spans="1:25" ht="14.25" customHeight="1" x14ac:dyDescent="0.2">
      <c r="A33" s="67">
        <f>$J$5</f>
        <v>0</v>
      </c>
      <c r="B33" s="93" t="s">
        <v>74</v>
      </c>
      <c r="C33" s="898" t="s">
        <v>75</v>
      </c>
      <c r="D33" s="809"/>
      <c r="E33" s="809"/>
      <c r="F33" s="809"/>
      <c r="G33" s="809"/>
      <c r="H33" s="809"/>
      <c r="I33" s="809"/>
      <c r="J33" s="94">
        <v>44</v>
      </c>
      <c r="K33" s="64"/>
      <c r="L33" s="72"/>
      <c r="M33" s="5"/>
      <c r="N33" s="5"/>
      <c r="O33" s="5"/>
      <c r="P33" s="85"/>
      <c r="Q33" s="82"/>
      <c r="R33" s="82"/>
      <c r="S33" s="82"/>
      <c r="T33" s="82"/>
      <c r="U33" s="82"/>
      <c r="V33" s="82"/>
      <c r="W33" s="82"/>
      <c r="X33" s="82"/>
      <c r="Y33" s="78"/>
    </row>
    <row r="34" spans="1:25" ht="18" customHeight="1" x14ac:dyDescent="0.2">
      <c r="A34" s="85"/>
      <c r="B34" s="68"/>
      <c r="C34" s="68"/>
      <c r="D34" s="84"/>
      <c r="E34" s="84"/>
      <c r="F34" s="84"/>
      <c r="G34" s="84"/>
      <c r="H34" s="81"/>
      <c r="I34" s="82"/>
      <c r="J34" s="78"/>
      <c r="K34" s="64"/>
      <c r="L34" s="5"/>
      <c r="M34" s="5"/>
      <c r="N34" s="5"/>
      <c r="O34" s="5"/>
      <c r="P34" s="66"/>
      <c r="Q34" s="897"/>
      <c r="R34" s="809"/>
      <c r="S34" s="809"/>
      <c r="T34" s="809"/>
      <c r="U34" s="809"/>
      <c r="V34" s="809"/>
      <c r="W34" s="809"/>
      <c r="X34" s="809"/>
      <c r="Y34" s="78"/>
    </row>
    <row r="35" spans="1:25" ht="14.25" customHeight="1" x14ac:dyDescent="0.2">
      <c r="A35" s="66"/>
      <c r="B35" s="897" t="s">
        <v>76</v>
      </c>
      <c r="C35" s="809"/>
      <c r="D35" s="809"/>
      <c r="E35" s="809"/>
      <c r="F35" s="809"/>
      <c r="G35" s="809"/>
      <c r="H35" s="809"/>
      <c r="I35" s="809"/>
      <c r="J35" s="809"/>
      <c r="K35" s="64"/>
      <c r="L35" s="5"/>
      <c r="M35" s="5"/>
      <c r="N35" s="5"/>
      <c r="O35" s="5"/>
      <c r="P35" s="5"/>
      <c r="Q35" s="809"/>
      <c r="R35" s="809"/>
      <c r="S35" s="809"/>
      <c r="T35" s="809"/>
      <c r="U35" s="809"/>
      <c r="V35" s="809"/>
      <c r="W35" s="809"/>
      <c r="X35" s="809"/>
      <c r="Y35" s="78"/>
    </row>
    <row r="36" spans="1:25" ht="17.25" customHeight="1" x14ac:dyDescent="0.2">
      <c r="A36" s="66" t="s">
        <v>5</v>
      </c>
      <c r="B36" s="809"/>
      <c r="C36" s="809"/>
      <c r="D36" s="809"/>
      <c r="E36" s="809"/>
      <c r="F36" s="809"/>
      <c r="G36" s="809"/>
      <c r="H36" s="809"/>
      <c r="I36" s="809"/>
      <c r="J36" s="809"/>
      <c r="K36" s="64"/>
      <c r="L36" s="5"/>
      <c r="M36" s="5"/>
      <c r="N36" s="5"/>
      <c r="O36" s="5"/>
      <c r="P36" s="99"/>
      <c r="Q36" s="97"/>
      <c r="R36" s="100"/>
      <c r="S36" s="100"/>
      <c r="T36" s="100"/>
      <c r="U36" s="100"/>
      <c r="V36" s="100"/>
      <c r="W36" s="100"/>
      <c r="X36" s="100"/>
      <c r="Y36" s="76"/>
    </row>
    <row r="37" spans="1:25" ht="12" customHeight="1" x14ac:dyDescent="0.2">
      <c r="A37" s="67">
        <f t="shared" ref="A37:A44" si="1">$J$5</f>
        <v>0</v>
      </c>
      <c r="B37" s="93" t="s">
        <v>77</v>
      </c>
      <c r="C37" s="898" t="s">
        <v>78</v>
      </c>
      <c r="D37" s="809"/>
      <c r="E37" s="809"/>
      <c r="F37" s="809"/>
      <c r="G37" s="809"/>
      <c r="H37" s="809"/>
      <c r="I37" s="809"/>
      <c r="J37" s="76">
        <v>47</v>
      </c>
      <c r="K37" s="64"/>
      <c r="L37" s="72"/>
      <c r="M37" s="5"/>
      <c r="N37" s="5"/>
      <c r="O37" s="5"/>
      <c r="P37" s="99"/>
      <c r="Q37" s="97"/>
      <c r="R37" s="100"/>
      <c r="S37" s="100"/>
      <c r="T37" s="100"/>
      <c r="U37" s="100"/>
      <c r="V37" s="100"/>
      <c r="W37" s="100"/>
      <c r="X37" s="100"/>
      <c r="Y37" s="76"/>
    </row>
    <row r="38" spans="1:25" ht="12.75" customHeight="1" x14ac:dyDescent="0.2">
      <c r="A38" s="67">
        <f t="shared" si="1"/>
        <v>0</v>
      </c>
      <c r="B38" s="93" t="s">
        <v>79</v>
      </c>
      <c r="C38" s="64" t="s">
        <v>80</v>
      </c>
      <c r="D38" s="5"/>
      <c r="E38" s="5"/>
      <c r="F38" s="5"/>
      <c r="G38" s="5"/>
      <c r="H38" s="5"/>
      <c r="I38" s="5"/>
      <c r="J38" s="76">
        <v>49</v>
      </c>
      <c r="K38" s="5"/>
      <c r="L38" s="5"/>
      <c r="M38" s="5"/>
      <c r="N38" s="5"/>
      <c r="O38" s="5"/>
      <c r="P38" s="101"/>
      <c r="Q38" s="97"/>
      <c r="R38" s="97"/>
      <c r="S38" s="98"/>
      <c r="T38" s="98"/>
      <c r="U38" s="98"/>
      <c r="V38" s="98"/>
      <c r="W38" s="98"/>
      <c r="X38" s="47"/>
      <c r="Y38" s="78"/>
    </row>
    <row r="39" spans="1:25" ht="14.25" customHeight="1" x14ac:dyDescent="0.2">
      <c r="A39" s="67">
        <f t="shared" si="1"/>
        <v>0</v>
      </c>
      <c r="B39" s="93" t="s">
        <v>81</v>
      </c>
      <c r="C39" s="898" t="s">
        <v>82</v>
      </c>
      <c r="D39" s="809"/>
      <c r="E39" s="809"/>
      <c r="F39" s="809"/>
      <c r="G39" s="809"/>
      <c r="H39" s="809"/>
      <c r="I39" s="809"/>
      <c r="J39" s="76">
        <v>54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4.25" customHeight="1" x14ac:dyDescent="0.2">
      <c r="A40" s="67">
        <f t="shared" si="1"/>
        <v>0</v>
      </c>
      <c r="B40" s="93" t="s">
        <v>83</v>
      </c>
      <c r="C40" s="898" t="s">
        <v>84</v>
      </c>
      <c r="D40" s="809"/>
      <c r="E40" s="809"/>
      <c r="F40" s="809"/>
      <c r="G40" s="809"/>
      <c r="H40" s="809"/>
      <c r="I40" s="809"/>
      <c r="J40" s="78">
        <v>58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4.25" customHeight="1" x14ac:dyDescent="0.2">
      <c r="A41" s="67">
        <f t="shared" si="1"/>
        <v>0</v>
      </c>
      <c r="B41" s="93" t="s">
        <v>85</v>
      </c>
      <c r="C41" s="97" t="s">
        <v>86</v>
      </c>
      <c r="D41" s="98"/>
      <c r="E41" s="98"/>
      <c r="F41" s="98"/>
      <c r="G41" s="98"/>
      <c r="H41" s="98"/>
      <c r="I41" s="47"/>
      <c r="J41" s="78">
        <v>61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4.25" customHeight="1" x14ac:dyDescent="0.2">
      <c r="A42" s="67">
        <f t="shared" si="1"/>
        <v>0</v>
      </c>
      <c r="B42" s="93" t="s">
        <v>87</v>
      </c>
      <c r="C42" s="64"/>
      <c r="D42" s="98"/>
      <c r="E42" s="98"/>
      <c r="F42" s="98"/>
      <c r="G42" s="98"/>
      <c r="H42" s="98"/>
      <c r="I42" s="47"/>
      <c r="J42" s="7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4.25" customHeight="1" x14ac:dyDescent="0.2">
      <c r="A43" s="67">
        <f t="shared" si="1"/>
        <v>0</v>
      </c>
      <c r="B43" s="93" t="s">
        <v>88</v>
      </c>
      <c r="C43" s="97"/>
      <c r="D43" s="98"/>
      <c r="E43" s="98"/>
      <c r="F43" s="98"/>
      <c r="G43" s="98"/>
      <c r="H43" s="98"/>
      <c r="I43" s="47"/>
      <c r="J43" s="7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4.25" customHeight="1" x14ac:dyDescent="0.2">
      <c r="A44" s="67">
        <f t="shared" si="1"/>
        <v>0</v>
      </c>
      <c r="B44" s="93" t="s">
        <v>89</v>
      </c>
      <c r="C44" s="97" t="s">
        <v>90</v>
      </c>
      <c r="D44" s="98"/>
      <c r="E44" s="98"/>
      <c r="F44" s="98"/>
      <c r="G44" s="98"/>
      <c r="H44" s="98"/>
      <c r="I44" s="47"/>
      <c r="J44" s="78">
        <v>62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6.5" customHeight="1" thickBot="1" x14ac:dyDescent="0.25">
      <c r="A45" s="79"/>
      <c r="B45" s="79"/>
      <c r="C45" s="79"/>
      <c r="D45" s="79"/>
      <c r="E45" s="79"/>
      <c r="F45" s="79"/>
      <c r="G45" s="79"/>
      <c r="H45" s="79"/>
      <c r="I45" s="79"/>
      <c r="J45" s="68"/>
      <c r="K45" s="6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9.5" customHeight="1" thickTop="1" thickBot="1" x14ac:dyDescent="0.25">
      <c r="A46" s="822"/>
      <c r="B46" s="823"/>
      <c r="C46" s="824"/>
      <c r="D46" s="841" t="str">
        <f>'Front Page'!$A$13</f>
        <v>Mechanical  Calculations</v>
      </c>
      <c r="E46" s="842"/>
      <c r="F46" s="842"/>
      <c r="G46" s="842"/>
      <c r="H46" s="842"/>
      <c r="I46" s="842"/>
      <c r="J46" s="842"/>
      <c r="K46" s="843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6.5" customHeight="1" thickBot="1" x14ac:dyDescent="0.25">
      <c r="A47" s="825"/>
      <c r="B47" s="809"/>
      <c r="C47" s="826"/>
      <c r="D47" s="840"/>
      <c r="E47" s="831"/>
      <c r="F47" s="831"/>
      <c r="G47" s="831"/>
      <c r="H47" s="831"/>
      <c r="I47" s="831"/>
      <c r="J47" s="831"/>
      <c r="K47" s="832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6.5" customHeight="1" thickBot="1" x14ac:dyDescent="0.25">
      <c r="A48" s="827"/>
      <c r="B48" s="828"/>
      <c r="C48" s="829"/>
      <c r="D48" s="840" t="s">
        <v>0</v>
      </c>
      <c r="E48" s="831"/>
      <c r="F48" s="831"/>
      <c r="G48" s="831"/>
      <c r="H48" s="831"/>
      <c r="I48" s="831"/>
      <c r="J48" s="831"/>
      <c r="K48" s="832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6.5" customHeight="1" thickBot="1" x14ac:dyDescent="0.3">
      <c r="A49" s="830"/>
      <c r="B49" s="831"/>
      <c r="C49" s="832"/>
      <c r="D49" s="839" t="s">
        <v>1</v>
      </c>
      <c r="E49" s="832"/>
      <c r="F49" s="846"/>
      <c r="G49" s="832"/>
      <c r="H49" s="845" t="s">
        <v>2</v>
      </c>
      <c r="I49" s="832"/>
      <c r="J49" s="846"/>
      <c r="K49" s="83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" customHeight="1" thickBot="1" x14ac:dyDescent="0.3">
      <c r="A50" s="833"/>
      <c r="B50" s="834"/>
      <c r="C50" s="835"/>
      <c r="D50" s="838" t="s">
        <v>4</v>
      </c>
      <c r="E50" s="835"/>
      <c r="F50" s="899"/>
      <c r="G50" s="835"/>
      <c r="H50" s="844" t="s">
        <v>5</v>
      </c>
      <c r="I50" s="835"/>
      <c r="J50" s="899"/>
      <c r="K50" s="83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9.5" customHeight="1" thickTop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102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20.25" customHeight="1" x14ac:dyDescent="0.3">
      <c r="A52" s="5"/>
      <c r="B52" s="63" t="s">
        <v>91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75" customHeight="1" x14ac:dyDescent="0.25">
      <c r="A54" s="893" t="s">
        <v>92</v>
      </c>
      <c r="B54" s="894"/>
      <c r="C54" s="104" t="s">
        <v>93</v>
      </c>
      <c r="D54" s="105" t="s">
        <v>94</v>
      </c>
      <c r="E54" s="105"/>
      <c r="F54" s="105"/>
      <c r="G54" s="105"/>
      <c r="H54" s="105"/>
      <c r="I54" s="105"/>
      <c r="J54" s="10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" customHeight="1" x14ac:dyDescent="0.25">
      <c r="A55" s="893" t="s">
        <v>95</v>
      </c>
      <c r="B55" s="894"/>
      <c r="C55" s="106" t="s">
        <v>14</v>
      </c>
      <c r="D55" s="105" t="s">
        <v>96</v>
      </c>
      <c r="E55" s="107"/>
      <c r="F55" s="107"/>
      <c r="G55" s="107"/>
      <c r="H55" s="107"/>
      <c r="I55" s="107"/>
      <c r="J55" s="10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2.75" customHeight="1" x14ac:dyDescent="0.2">
      <c r="A56" s="108"/>
      <c r="B56" s="73"/>
      <c r="C56" s="109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" customHeight="1" x14ac:dyDescent="0.2">
      <c r="A57" s="110"/>
      <c r="B57" s="73"/>
      <c r="C57" s="109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x14ac:dyDescent="0.2">
      <c r="A58" s="108"/>
      <c r="B58" s="111"/>
      <c r="C58" s="11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108"/>
      <c r="B59" s="111"/>
      <c r="C59" s="11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x14ac:dyDescent="0.2">
      <c r="A60" s="114"/>
      <c r="B60" s="111"/>
      <c r="C60" s="113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x14ac:dyDescent="0.2">
      <c r="A61" s="114"/>
      <c r="B61" s="115"/>
      <c r="C61" s="112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2">
      <c r="A62" s="114"/>
      <c r="B62" s="103"/>
      <c r="C62" s="11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2">
      <c r="A63" s="114"/>
      <c r="B63" s="103"/>
      <c r="C63" s="11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114"/>
      <c r="B64" s="103"/>
      <c r="C64" s="11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114"/>
      <c r="B65" s="103"/>
      <c r="C65" s="11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114"/>
      <c r="B66" s="103"/>
      <c r="C66" s="11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2">
      <c r="A67" s="114"/>
      <c r="B67" s="103"/>
      <c r="C67" s="11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">
      <c r="A68" s="114"/>
      <c r="B68" s="103"/>
      <c r="C68" s="11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2">
      <c r="A69" s="114"/>
      <c r="B69" s="103"/>
      <c r="C69" s="11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2">
      <c r="A70" s="114"/>
      <c r="B70" s="103"/>
      <c r="C70" s="116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x14ac:dyDescent="0.2">
      <c r="A71" s="114"/>
      <c r="B71" s="103"/>
      <c r="C71" s="11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x14ac:dyDescent="0.2">
      <c r="A72" s="114"/>
      <c r="B72" s="103"/>
      <c r="C72" s="11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2">
      <c r="A73" s="114"/>
      <c r="B73" s="103"/>
      <c r="C73" s="11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">
      <c r="A74" s="114"/>
      <c r="B74" s="103"/>
      <c r="C74" s="11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</sheetData>
  <mergeCells count="44">
    <mergeCell ref="J5:K5"/>
    <mergeCell ref="C21:I21"/>
    <mergeCell ref="F49:G49"/>
    <mergeCell ref="H49:I49"/>
    <mergeCell ref="J49:K49"/>
    <mergeCell ref="C29:I29"/>
    <mergeCell ref="C32:I32"/>
    <mergeCell ref="C33:I33"/>
    <mergeCell ref="C39:I39"/>
    <mergeCell ref="C40:I40"/>
    <mergeCell ref="A5:C5"/>
    <mergeCell ref="D5:E5"/>
    <mergeCell ref="F5:G5"/>
    <mergeCell ref="H5:I5"/>
    <mergeCell ref="C37:I37"/>
    <mergeCell ref="C14:I14"/>
    <mergeCell ref="D46:K46"/>
    <mergeCell ref="D47:K47"/>
    <mergeCell ref="D48:K48"/>
    <mergeCell ref="D49:E49"/>
    <mergeCell ref="D50:E50"/>
    <mergeCell ref="F50:G50"/>
    <mergeCell ref="H50:I50"/>
    <mergeCell ref="J50:K50"/>
    <mergeCell ref="R14:X14"/>
    <mergeCell ref="R20:X20"/>
    <mergeCell ref="R28:X28"/>
    <mergeCell ref="Q34:X35"/>
    <mergeCell ref="C30:I30"/>
    <mergeCell ref="B35:J36"/>
    <mergeCell ref="A55:B55"/>
    <mergeCell ref="A46:C48"/>
    <mergeCell ref="A50:C50"/>
    <mergeCell ref="A49:C49"/>
    <mergeCell ref="A54:B54"/>
    <mergeCell ref="A1:C3"/>
    <mergeCell ref="D1:K1"/>
    <mergeCell ref="D2:K2"/>
    <mergeCell ref="D3:K3"/>
    <mergeCell ref="D4:E4"/>
    <mergeCell ref="F4:G4"/>
    <mergeCell ref="H4:I4"/>
    <mergeCell ref="J4:K4"/>
    <mergeCell ref="A4:C4"/>
  </mergeCells>
  <pageMargins left="0.74803149606299213" right="0.74803149606299213" top="0.98425196850393704" bottom="0.98425196850393704" header="0" footer="0"/>
  <pageSetup paperSize="9" scale="96" fitToHeight="0" orientation="portrait"/>
  <rowBreaks count="1" manualBreakCount="1">
    <brk id="45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F179"/>
  <sheetViews>
    <sheetView topLeftCell="A138" workbookViewId="0">
      <selection sqref="A1:C3"/>
    </sheetView>
    <sheetView tabSelected="1" topLeftCell="A148" workbookViewId="1">
      <selection sqref="A1:AK5"/>
    </sheetView>
  </sheetViews>
  <sheetFormatPr defaultColWidth="11.42578125" defaultRowHeight="12.75" x14ac:dyDescent="0.2"/>
  <cols>
    <col min="1" max="1" width="7.140625" customWidth="1"/>
    <col min="2" max="2" width="10.85546875" customWidth="1"/>
    <col min="3" max="3" width="12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10" max="10" width="7" customWidth="1"/>
    <col min="11" max="11" width="12.140625" bestFit="1" customWidth="1"/>
    <col min="16" max="16" width="10.42578125" customWidth="1"/>
    <col min="18" max="18" width="9.42578125" customWidth="1"/>
    <col min="19" max="19" width="12.85546875" customWidth="1"/>
    <col min="20" max="20" width="12.42578125" customWidth="1"/>
    <col min="21" max="21" width="13.140625" customWidth="1"/>
    <col min="22" max="22" width="13.85546875" customWidth="1"/>
    <col min="24" max="24" width="12.42578125" customWidth="1"/>
    <col min="26" max="26" width="12.85546875" customWidth="1"/>
    <col min="27" max="27" width="12" customWidth="1"/>
    <col min="28" max="29" width="12.85546875" customWidth="1"/>
    <col min="30" max="30" width="13.140625" customWidth="1"/>
    <col min="31" max="31" width="11.85546875" customWidth="1"/>
  </cols>
  <sheetData>
    <row r="1" spans="1:32" ht="17.25" customHeight="1" thickTop="1" thickBot="1" x14ac:dyDescent="0.3">
      <c r="A1" s="988"/>
      <c r="B1" s="823"/>
      <c r="C1" s="871"/>
      <c r="D1" s="934" t="str">
        <f>'Front Page'!$A$13</f>
        <v>Mechanical  Calculations</v>
      </c>
      <c r="E1" s="842"/>
      <c r="F1" s="842"/>
      <c r="G1" s="842"/>
      <c r="H1" s="859"/>
      <c r="I1" s="988"/>
      <c r="J1" s="823"/>
      <c r="K1" s="871"/>
      <c r="L1" s="934" t="str">
        <f>'Front Page'!$A$13</f>
        <v>Mechanical  Calculations</v>
      </c>
      <c r="M1" s="842"/>
      <c r="N1" s="842"/>
      <c r="O1" s="842"/>
      <c r="P1" s="859"/>
      <c r="Q1" s="988"/>
      <c r="R1" s="823"/>
      <c r="S1" s="871"/>
      <c r="T1" s="934" t="str">
        <f>'Front Page'!$A$13</f>
        <v>Mechanical  Calculations</v>
      </c>
      <c r="U1" s="842"/>
      <c r="V1" s="842"/>
      <c r="W1" s="842"/>
      <c r="X1" s="859"/>
      <c r="Y1" s="988"/>
      <c r="Z1" s="823"/>
      <c r="AA1" s="871"/>
      <c r="AB1" s="934" t="str">
        <f>'Front Page'!$A$13</f>
        <v>Mechanical  Calculations</v>
      </c>
      <c r="AC1" s="842"/>
      <c r="AD1" s="842"/>
      <c r="AE1" s="842"/>
      <c r="AF1" s="859"/>
    </row>
    <row r="2" spans="1:32" ht="16.5" customHeight="1" thickBot="1" x14ac:dyDescent="0.3">
      <c r="A2" s="825"/>
      <c r="B2" s="809"/>
      <c r="C2" s="989"/>
      <c r="D2" s="984"/>
      <c r="E2" s="831"/>
      <c r="F2" s="831"/>
      <c r="G2" s="831"/>
      <c r="H2" s="854"/>
      <c r="I2" s="825"/>
      <c r="J2" s="809"/>
      <c r="K2" s="989"/>
      <c r="L2" s="984"/>
      <c r="M2" s="831"/>
      <c r="N2" s="831"/>
      <c r="O2" s="831"/>
      <c r="P2" s="854"/>
      <c r="Q2" s="825"/>
      <c r="R2" s="809"/>
      <c r="S2" s="989"/>
      <c r="T2" s="984"/>
      <c r="U2" s="831"/>
      <c r="V2" s="831"/>
      <c r="W2" s="831"/>
      <c r="X2" s="854"/>
      <c r="Y2" s="825"/>
      <c r="Z2" s="809"/>
      <c r="AA2" s="989"/>
      <c r="AB2" s="984"/>
      <c r="AC2" s="831"/>
      <c r="AD2" s="831"/>
      <c r="AE2" s="831"/>
      <c r="AF2" s="854"/>
    </row>
    <row r="3" spans="1:32" ht="16.5" customHeight="1" thickBot="1" x14ac:dyDescent="0.3">
      <c r="A3" s="827"/>
      <c r="B3" s="828"/>
      <c r="C3" s="857"/>
      <c r="D3" s="985" t="s">
        <v>1042</v>
      </c>
      <c r="E3" s="834"/>
      <c r="F3" s="834"/>
      <c r="G3" s="834"/>
      <c r="H3" s="986"/>
      <c r="I3" s="827"/>
      <c r="J3" s="828"/>
      <c r="K3" s="857"/>
      <c r="L3" s="985" t="s">
        <v>1042</v>
      </c>
      <c r="M3" s="834"/>
      <c r="N3" s="834"/>
      <c r="O3" s="834"/>
      <c r="P3" s="986"/>
      <c r="Q3" s="827"/>
      <c r="R3" s="828"/>
      <c r="S3" s="857"/>
      <c r="T3" s="985" t="s">
        <v>1042</v>
      </c>
      <c r="U3" s="834"/>
      <c r="V3" s="834"/>
      <c r="W3" s="834"/>
      <c r="X3" s="986"/>
      <c r="Y3" s="827"/>
      <c r="Z3" s="828"/>
      <c r="AA3" s="857"/>
      <c r="AB3" s="985" t="s">
        <v>1042</v>
      </c>
      <c r="AC3" s="834"/>
      <c r="AD3" s="834"/>
      <c r="AE3" s="834"/>
      <c r="AF3" s="986"/>
    </row>
    <row r="4" spans="1:32" ht="16.5" customHeight="1" thickTop="1" thickBot="1" x14ac:dyDescent="0.3">
      <c r="A4" s="873"/>
      <c r="B4" s="848"/>
      <c r="C4" s="865"/>
      <c r="D4" s="385" t="str">
        <f>'Front Page'!$D$4</f>
        <v>Doc Nº</v>
      </c>
      <c r="E4" s="980"/>
      <c r="F4" s="843"/>
      <c r="G4" s="980"/>
      <c r="H4" s="843"/>
      <c r="I4" s="873"/>
      <c r="J4" s="848"/>
      <c r="K4" s="865"/>
      <c r="L4" s="385" t="str">
        <f>'Front Page'!$D$4</f>
        <v>Doc Nº</v>
      </c>
      <c r="M4" s="980"/>
      <c r="N4" s="843"/>
      <c r="O4" s="980"/>
      <c r="P4" s="843"/>
      <c r="Q4" s="873"/>
      <c r="R4" s="848"/>
      <c r="S4" s="865"/>
      <c r="T4" s="385" t="str">
        <f>'Front Page'!$D$4</f>
        <v>Doc Nº</v>
      </c>
      <c r="U4" s="980"/>
      <c r="V4" s="843"/>
      <c r="W4" s="980"/>
      <c r="X4" s="843"/>
      <c r="Y4" s="873"/>
      <c r="Z4" s="848"/>
      <c r="AA4" s="865"/>
      <c r="AB4" s="385" t="str">
        <f>'Front Page'!$D$4</f>
        <v>Doc Nº</v>
      </c>
      <c r="AC4" s="980"/>
      <c r="AD4" s="843"/>
      <c r="AE4" s="980"/>
      <c r="AF4" s="843"/>
    </row>
    <row r="5" spans="1:32" ht="15.75" customHeight="1" thickBot="1" x14ac:dyDescent="0.3">
      <c r="A5" s="860"/>
      <c r="B5" s="851"/>
      <c r="C5" s="861"/>
      <c r="D5" s="386" t="str">
        <f>'Front Page'!$D$5</f>
        <v>Project</v>
      </c>
      <c r="E5" s="899"/>
      <c r="F5" s="835"/>
      <c r="G5" s="131" t="s">
        <v>5</v>
      </c>
      <c r="H5" s="132"/>
      <c r="I5" s="860"/>
      <c r="J5" s="851"/>
      <c r="K5" s="861"/>
      <c r="L5" s="386" t="str">
        <f>'Front Page'!$D$5</f>
        <v>Project</v>
      </c>
      <c r="M5" s="899"/>
      <c r="N5" s="835"/>
      <c r="O5" s="131" t="s">
        <v>5</v>
      </c>
      <c r="P5" s="132"/>
      <c r="Q5" s="860"/>
      <c r="R5" s="851"/>
      <c r="S5" s="861"/>
      <c r="T5" s="386" t="str">
        <f>'Front Page'!$D$5</f>
        <v>Project</v>
      </c>
      <c r="U5" s="899"/>
      <c r="V5" s="835"/>
      <c r="W5" s="131" t="s">
        <v>5</v>
      </c>
      <c r="X5" s="132"/>
      <c r="Y5" s="860"/>
      <c r="Z5" s="851"/>
      <c r="AA5" s="861"/>
      <c r="AB5" s="386" t="str">
        <f>'Front Page'!$D$5</f>
        <v>Project</v>
      </c>
      <c r="AC5" s="899"/>
      <c r="AD5" s="835"/>
      <c r="AE5" s="131" t="s">
        <v>5</v>
      </c>
      <c r="AF5" s="132"/>
    </row>
    <row r="6" spans="1:32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976" t="s">
        <v>1043</v>
      </c>
      <c r="B7" s="809"/>
      <c r="C7" s="809"/>
      <c r="D7" s="809"/>
      <c r="E7" s="809"/>
      <c r="F7" s="809"/>
      <c r="G7" s="809"/>
      <c r="H7" s="809"/>
      <c r="I7" s="5"/>
      <c r="J7" s="5"/>
      <c r="K7" s="5"/>
      <c r="L7" s="5"/>
      <c r="M7" s="5"/>
      <c r="N7" s="5"/>
      <c r="O7" s="5"/>
      <c r="P7" s="5"/>
      <c r="Q7" s="976" t="s">
        <v>1043</v>
      </c>
      <c r="R7" s="809"/>
      <c r="S7" s="809"/>
      <c r="T7" s="809"/>
      <c r="U7" s="809"/>
      <c r="V7" s="809"/>
      <c r="W7" s="809"/>
      <c r="X7" s="809"/>
      <c r="Y7" s="5"/>
      <c r="Z7" s="5"/>
      <c r="AA7" s="5"/>
      <c r="AB7" s="5"/>
      <c r="AC7" s="5"/>
      <c r="AD7" s="5"/>
      <c r="AE7" s="5"/>
      <c r="AF7" s="5"/>
    </row>
    <row r="8" spans="1:32" ht="18" customHeight="1" x14ac:dyDescent="0.2">
      <c r="A8" s="809"/>
      <c r="B8" s="809"/>
      <c r="C8" s="809"/>
      <c r="D8" s="809"/>
      <c r="E8" s="809"/>
      <c r="F8" s="809"/>
      <c r="G8" s="809"/>
      <c r="H8" s="809"/>
      <c r="I8" s="5"/>
      <c r="J8" s="5"/>
      <c r="K8" s="5"/>
      <c r="L8" s="5"/>
      <c r="M8" s="5"/>
      <c r="N8" s="5"/>
      <c r="O8" s="5"/>
      <c r="P8" s="5"/>
      <c r="Q8" s="809"/>
      <c r="R8" s="809"/>
      <c r="S8" s="809"/>
      <c r="T8" s="809"/>
      <c r="U8" s="809"/>
      <c r="V8" s="809"/>
      <c r="W8" s="809"/>
      <c r="X8" s="809"/>
      <c r="Y8" s="5"/>
      <c r="Z8" s="5"/>
      <c r="AA8" s="5"/>
      <c r="AB8" s="5"/>
      <c r="AC8" s="5"/>
      <c r="AD8" s="5"/>
      <c r="AE8" s="5"/>
      <c r="AF8" s="5"/>
    </row>
    <row r="9" spans="1:32" ht="12.75" customHeight="1" x14ac:dyDescent="0.2">
      <c r="A9" s="809"/>
      <c r="B9" s="809"/>
      <c r="C9" s="809"/>
      <c r="D9" s="809"/>
      <c r="E9" s="809"/>
      <c r="F9" s="809"/>
      <c r="G9" s="809"/>
      <c r="H9" s="809"/>
      <c r="I9" s="5"/>
      <c r="J9" s="5"/>
      <c r="K9" s="5"/>
      <c r="L9" s="5"/>
      <c r="M9" s="5"/>
      <c r="N9" s="5"/>
      <c r="O9" s="5"/>
      <c r="P9" s="5"/>
      <c r="Q9" s="809"/>
      <c r="R9" s="809"/>
      <c r="S9" s="809"/>
      <c r="T9" s="809"/>
      <c r="U9" s="809"/>
      <c r="V9" s="809"/>
      <c r="W9" s="809"/>
      <c r="X9" s="809"/>
      <c r="Y9" s="5"/>
      <c r="Z9" s="5"/>
      <c r="AA9" s="5"/>
      <c r="AB9" s="5"/>
      <c r="AC9" s="5"/>
      <c r="AD9" s="5"/>
      <c r="AE9" s="5"/>
      <c r="AF9" s="5"/>
    </row>
    <row r="10" spans="1:32" ht="8.25" customHeight="1" x14ac:dyDescent="0.2">
      <c r="A10" s="809"/>
      <c r="B10" s="809"/>
      <c r="C10" s="809"/>
      <c r="D10" s="809"/>
      <c r="E10" s="809"/>
      <c r="F10" s="809"/>
      <c r="G10" s="809"/>
      <c r="H10" s="809"/>
      <c r="I10" s="5"/>
      <c r="J10" s="5"/>
      <c r="K10" s="5"/>
      <c r="L10" s="5"/>
      <c r="M10" s="5"/>
      <c r="N10" s="5"/>
      <c r="O10" s="5"/>
      <c r="P10" s="5"/>
      <c r="Q10" s="809"/>
      <c r="R10" s="809"/>
      <c r="S10" s="809"/>
      <c r="T10" s="809"/>
      <c r="U10" s="809"/>
      <c r="V10" s="809"/>
      <c r="W10" s="809"/>
      <c r="X10" s="809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>
        <f>B17</f>
        <v>155.12961941533371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118" t="s">
        <v>1044</v>
      </c>
      <c r="B12" s="5"/>
      <c r="C12" s="5"/>
      <c r="D12" s="5"/>
      <c r="E12" s="5"/>
      <c r="F12" s="5"/>
      <c r="G12" s="5"/>
      <c r="H12" s="5"/>
      <c r="I12" s="5"/>
      <c r="J12" s="117"/>
      <c r="K12" s="5"/>
      <c r="L12" s="5"/>
      <c r="M12" s="5"/>
      <c r="N12" s="5"/>
      <c r="O12" s="5"/>
      <c r="P12" s="5"/>
      <c r="Q12" s="118" t="s">
        <v>1044</v>
      </c>
      <c r="R12" s="5"/>
      <c r="S12" s="5"/>
      <c r="T12" s="5"/>
      <c r="U12" s="5"/>
      <c r="V12" s="5"/>
      <c r="W12" s="5"/>
      <c r="X12" s="5"/>
      <c r="Y12" s="5"/>
      <c r="Z12" s="117"/>
      <c r="AA12" s="5"/>
      <c r="AB12" s="5"/>
      <c r="AC12" s="5"/>
      <c r="AD12" s="5"/>
      <c r="AE12" s="5"/>
      <c r="AF12" s="5"/>
    </row>
    <row r="13" spans="1:32" x14ac:dyDescent="0.2">
      <c r="A13" s="5"/>
      <c r="B13" s="5"/>
      <c r="C13" s="5"/>
      <c r="D13" s="5"/>
      <c r="E13" s="5"/>
      <c r="F13" s="5"/>
      <c r="G13" s="5"/>
      <c r="H13" s="5"/>
      <c r="I13" s="5"/>
      <c r="J13" s="11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7"/>
      <c r="AA13" s="5"/>
      <c r="AB13" s="5"/>
      <c r="AC13" s="5"/>
      <c r="AD13" s="5"/>
      <c r="AE13" s="5"/>
      <c r="AF13" s="5"/>
    </row>
    <row r="14" spans="1:32" x14ac:dyDescent="0.2">
      <c r="A14" s="117" t="s">
        <v>1045</v>
      </c>
      <c r="B14" s="263">
        <f>'Main Dimensions Calcs'!D53+'Main Dimensions Calcs'!H7*2</f>
        <v>20616</v>
      </c>
      <c r="C14" s="5" t="s">
        <v>247</v>
      </c>
      <c r="D14" s="64" t="s">
        <v>1046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17" t="s">
        <v>1045</v>
      </c>
      <c r="R14" s="265">
        <f>B14/304.8</f>
        <v>67.637795275590548</v>
      </c>
      <c r="S14" s="64" t="s">
        <v>1047</v>
      </c>
      <c r="T14" s="64" t="s">
        <v>1046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">
      <c r="A15" s="117" t="s">
        <v>1048</v>
      </c>
      <c r="B15" s="216">
        <v>195000</v>
      </c>
      <c r="C15" s="5" t="s">
        <v>925</v>
      </c>
      <c r="D15" s="64" t="s">
        <v>1049</v>
      </c>
      <c r="E15" s="5"/>
      <c r="F15" s="5"/>
      <c r="G15" s="5"/>
      <c r="H15" s="5"/>
      <c r="I15" s="5"/>
      <c r="J15" s="441"/>
      <c r="K15" s="5"/>
      <c r="L15" s="5"/>
      <c r="M15" s="5"/>
      <c r="N15" s="5"/>
      <c r="O15" s="5"/>
      <c r="P15" s="5"/>
      <c r="Q15" s="117" t="s">
        <v>1048</v>
      </c>
      <c r="R15" s="216">
        <f>B15*145.04</f>
        <v>28282800</v>
      </c>
      <c r="S15" s="64" t="s">
        <v>926</v>
      </c>
      <c r="T15" s="64" t="s">
        <v>1049</v>
      </c>
      <c r="U15" s="5"/>
      <c r="V15" s="5"/>
      <c r="W15" s="5"/>
      <c r="X15" s="5"/>
      <c r="Y15" s="5"/>
      <c r="Z15" s="441"/>
      <c r="AA15" s="5"/>
      <c r="AB15" s="5"/>
      <c r="AC15" s="5"/>
      <c r="AD15" s="5"/>
      <c r="AE15" s="5"/>
      <c r="AF15" s="5"/>
    </row>
    <row r="16" spans="1:32" x14ac:dyDescent="0.2">
      <c r="A16" s="117" t="s">
        <v>1050</v>
      </c>
      <c r="B16" s="216">
        <v>3</v>
      </c>
      <c r="C16" s="5"/>
      <c r="D16" s="64" t="s">
        <v>1051</v>
      </c>
      <c r="E16" s="5"/>
      <c r="F16" s="5"/>
      <c r="G16" s="5"/>
      <c r="H16" s="5"/>
      <c r="I16" s="5"/>
      <c r="J16" s="117"/>
      <c r="K16" s="5"/>
      <c r="L16" s="5"/>
      <c r="M16" s="5"/>
      <c r="N16" s="5"/>
      <c r="O16" s="5"/>
      <c r="P16" s="5"/>
      <c r="Q16" s="117" t="s">
        <v>1050</v>
      </c>
      <c r="R16" s="216">
        <v>3</v>
      </c>
      <c r="S16" s="5"/>
      <c r="T16" s="64" t="s">
        <v>1051</v>
      </c>
      <c r="U16" s="5"/>
      <c r="V16" s="5"/>
      <c r="W16" s="5"/>
      <c r="X16" s="5"/>
      <c r="Y16" s="5"/>
      <c r="Z16" s="117"/>
      <c r="AA16" s="5"/>
      <c r="AB16" s="5"/>
      <c r="AC16" s="5"/>
      <c r="AD16" s="5"/>
      <c r="AE16" s="5"/>
      <c r="AF16" s="5"/>
    </row>
    <row r="17" spans="1:32" x14ac:dyDescent="0.2">
      <c r="A17" s="117" t="s">
        <v>1052</v>
      </c>
      <c r="B17" s="389">
        <f>'Allowable Stresses'!G31</f>
        <v>155.12961941533371</v>
      </c>
      <c r="C17" s="5" t="s">
        <v>925</v>
      </c>
      <c r="D17" s="64" t="s">
        <v>1053</v>
      </c>
      <c r="E17" s="5"/>
      <c r="F17" s="5"/>
      <c r="G17" s="5"/>
      <c r="H17" s="5"/>
      <c r="I17" s="5"/>
      <c r="J17" s="117"/>
      <c r="K17" s="5"/>
      <c r="L17" s="5"/>
      <c r="M17" s="5"/>
      <c r="N17" s="5"/>
      <c r="O17" s="5"/>
      <c r="P17" s="5"/>
      <c r="Q17" s="117" t="s">
        <v>1052</v>
      </c>
      <c r="R17" s="216">
        <f>B17*145.04</f>
        <v>22500</v>
      </c>
      <c r="S17" s="64" t="s">
        <v>926</v>
      </c>
      <c r="T17" s="64" t="s">
        <v>1053</v>
      </c>
      <c r="U17" s="5"/>
      <c r="V17" s="5"/>
      <c r="W17" s="5"/>
      <c r="X17" s="5"/>
      <c r="Y17" s="5"/>
      <c r="Z17" s="117"/>
      <c r="AA17" s="5"/>
      <c r="AB17" s="5"/>
      <c r="AC17" s="5"/>
      <c r="AD17" s="5"/>
      <c r="AE17" s="5"/>
      <c r="AF17" s="5"/>
    </row>
    <row r="18" spans="1:32" x14ac:dyDescent="0.2">
      <c r="A18" s="117" t="s">
        <v>1054</v>
      </c>
      <c r="B18" s="265">
        <f>'Main Dimensions Calcs'!I18</f>
        <v>8</v>
      </c>
      <c r="C18" s="5" t="s">
        <v>247</v>
      </c>
      <c r="D18" s="64" t="s">
        <v>1055</v>
      </c>
      <c r="E18" s="5"/>
      <c r="F18" s="5"/>
      <c r="G18" s="5"/>
      <c r="H18" s="5"/>
      <c r="I18" s="5"/>
      <c r="J18" s="117"/>
      <c r="K18" s="5"/>
      <c r="L18" s="5"/>
      <c r="M18" s="5"/>
      <c r="N18" s="5"/>
      <c r="O18" s="5"/>
      <c r="P18" s="5"/>
      <c r="Q18" s="117" t="s">
        <v>1054</v>
      </c>
      <c r="R18" s="265">
        <f>B18/25.4</f>
        <v>0.31496062992125984</v>
      </c>
      <c r="S18" s="64" t="s">
        <v>248</v>
      </c>
      <c r="T18" s="64" t="s">
        <v>1055</v>
      </c>
      <c r="U18" s="5"/>
      <c r="V18" s="5"/>
      <c r="W18" s="5"/>
      <c r="X18" s="5"/>
      <c r="Y18" s="5"/>
      <c r="Z18" s="117"/>
      <c r="AA18" s="5"/>
      <c r="AB18" s="5"/>
      <c r="AC18" s="5"/>
      <c r="AD18" s="5"/>
      <c r="AE18" s="5"/>
      <c r="AF18" s="5"/>
    </row>
    <row r="19" spans="1:32" x14ac:dyDescent="0.2">
      <c r="A19" s="117" t="s">
        <v>1056</v>
      </c>
      <c r="B19" s="5">
        <v>0.3</v>
      </c>
      <c r="C19" s="5"/>
      <c r="D19" s="64" t="s">
        <v>1057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17" t="s">
        <v>1056</v>
      </c>
      <c r="R19" s="5">
        <v>0.3</v>
      </c>
      <c r="S19" s="5"/>
      <c r="T19" s="64" t="s">
        <v>1057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x14ac:dyDescent="0.2">
      <c r="A20" s="117" t="s">
        <v>911</v>
      </c>
      <c r="B20" s="5">
        <f>SUM('Main Dimensions Calcs'!I7:I17)</f>
        <v>7500</v>
      </c>
      <c r="C20" s="5" t="s">
        <v>247</v>
      </c>
      <c r="D20" s="64" t="s">
        <v>1058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17" t="s">
        <v>911</v>
      </c>
      <c r="R20" s="265">
        <f>B20/304.8</f>
        <v>24.606299212598426</v>
      </c>
      <c r="S20" s="64" t="s">
        <v>1047</v>
      </c>
      <c r="T20" s="64" t="s">
        <v>1058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">
      <c r="A21" s="248" t="s">
        <v>971</v>
      </c>
      <c r="B21" s="442">
        <v>80</v>
      </c>
      <c r="C21" s="5" t="s">
        <v>304</v>
      </c>
      <c r="D21" s="64" t="s">
        <v>972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248" t="s">
        <v>971</v>
      </c>
      <c r="R21" s="443">
        <f>B21*0.062428</f>
        <v>4.9942399999999996</v>
      </c>
      <c r="S21" s="64" t="s">
        <v>973</v>
      </c>
      <c r="T21" s="64" t="s">
        <v>972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">
      <c r="A22" s="64" t="s">
        <v>1059</v>
      </c>
      <c r="B22" s="5">
        <v>82.73</v>
      </c>
      <c r="C22" s="5" t="s">
        <v>925</v>
      </c>
      <c r="D22" s="64" t="s">
        <v>1060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64" t="s">
        <v>1059</v>
      </c>
      <c r="R22" s="5">
        <f>B22*145.04</f>
        <v>11999.1592</v>
      </c>
      <c r="S22" s="64" t="s">
        <v>926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">
      <c r="A23" s="5" t="s">
        <v>1061</v>
      </c>
      <c r="B23" s="444">
        <f>R23</f>
        <v>92.997940926125878</v>
      </c>
      <c r="C23" s="5"/>
      <c r="D23" s="901" t="s">
        <v>1062</v>
      </c>
      <c r="E23" s="809"/>
      <c r="F23" s="809"/>
      <c r="G23" s="809"/>
      <c r="H23" s="809"/>
      <c r="I23" s="5"/>
      <c r="J23" s="5"/>
      <c r="K23" s="5"/>
      <c r="L23" s="5"/>
      <c r="M23" s="5"/>
      <c r="N23" s="5"/>
      <c r="O23" s="5"/>
      <c r="P23" s="5"/>
      <c r="Q23" s="5" t="s">
        <v>1061</v>
      </c>
      <c r="R23" s="444">
        <f>SQRT((5.33*R14^3)/('Main Dimensions Calcs'!L40/25.4*R20^2))</f>
        <v>92.997940926125878</v>
      </c>
      <c r="S23" s="5"/>
      <c r="T23" s="901" t="s">
        <v>1062</v>
      </c>
      <c r="U23" s="809"/>
      <c r="V23" s="809"/>
      <c r="W23" s="809"/>
      <c r="X23" s="809"/>
      <c r="Y23" s="5"/>
      <c r="Z23" s="5"/>
      <c r="AA23" s="5"/>
      <c r="AB23" s="5"/>
      <c r="AC23" s="5"/>
      <c r="AD23" s="5"/>
      <c r="AE23" s="5"/>
      <c r="AF23" s="5"/>
    </row>
    <row r="24" spans="1:32" x14ac:dyDescent="0.2">
      <c r="A24" s="445" t="s">
        <v>1061</v>
      </c>
      <c r="B24" s="433"/>
      <c r="C24" s="5"/>
      <c r="D24" s="809"/>
      <c r="E24" s="809"/>
      <c r="F24" s="809"/>
      <c r="G24" s="809"/>
      <c r="H24" s="809"/>
      <c r="I24" s="5"/>
      <c r="J24" s="5"/>
      <c r="K24" s="5"/>
      <c r="L24" s="5"/>
      <c r="M24" s="5"/>
      <c r="N24" s="5"/>
      <c r="O24" s="5"/>
      <c r="P24" s="5"/>
      <c r="Q24" s="226"/>
      <c r="R24" s="5"/>
      <c r="S24" s="5"/>
      <c r="T24" s="809"/>
      <c r="U24" s="809"/>
      <c r="V24" s="809"/>
      <c r="W24" s="809"/>
      <c r="X24" s="809"/>
      <c r="Y24" s="5"/>
      <c r="Z24" s="5"/>
      <c r="AA24" s="5"/>
      <c r="AB24" s="5"/>
      <c r="AC24" s="5"/>
      <c r="AD24" s="5"/>
      <c r="AE24" s="5"/>
      <c r="AF24" s="5"/>
    </row>
    <row r="25" spans="1:32" x14ac:dyDescent="0.2">
      <c r="A25" s="226"/>
      <c r="B25" s="5"/>
      <c r="C25" s="5"/>
      <c r="D25" s="441" t="s">
        <v>1063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26"/>
      <c r="R25" s="5"/>
      <c r="S25" s="5"/>
      <c r="T25" s="441" t="s">
        <v>1063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2">
      <c r="A26" s="341" t="s">
        <v>1064</v>
      </c>
      <c r="B26" s="5">
        <v>0.436</v>
      </c>
      <c r="C26" s="64" t="s">
        <v>424</v>
      </c>
      <c r="D26" s="64" t="s">
        <v>1065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41" t="s">
        <v>1064</v>
      </c>
      <c r="R26" s="5">
        <v>0.436</v>
      </c>
      <c r="S26" s="64" t="s">
        <v>424</v>
      </c>
      <c r="T26" s="64" t="s">
        <v>1065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">
      <c r="A27" s="446" t="s">
        <v>1066</v>
      </c>
      <c r="B27" s="5">
        <v>0.61</v>
      </c>
      <c r="C27" s="64" t="s">
        <v>424</v>
      </c>
      <c r="D27" s="64" t="s">
        <v>1067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6" t="s">
        <v>1066</v>
      </c>
      <c r="R27" s="5">
        <v>0.61</v>
      </c>
      <c r="S27" s="64" t="s">
        <v>424</v>
      </c>
      <c r="T27" s="64" t="s">
        <v>1067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2.75" customHeight="1" x14ac:dyDescent="0.2">
      <c r="A28" s="341" t="s">
        <v>1068</v>
      </c>
      <c r="B28" s="265">
        <v>0.5</v>
      </c>
      <c r="C28" s="5"/>
      <c r="D28" s="64" t="s">
        <v>1069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341" t="s">
        <v>1068</v>
      </c>
      <c r="R28" s="265">
        <f>(1-SIN(R26))/(1+SIN(R26))</f>
        <v>0.40615623300119247</v>
      </c>
      <c r="S28" s="5"/>
      <c r="T28" s="64" t="s">
        <v>1069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2.75" customHeight="1" x14ac:dyDescent="0.2">
      <c r="A29" s="446" t="s">
        <v>1070</v>
      </c>
      <c r="B29" s="265">
        <v>0.32</v>
      </c>
      <c r="C29" s="5"/>
      <c r="D29" s="64" t="s">
        <v>1071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46" t="s">
        <v>1070</v>
      </c>
      <c r="R29" s="265">
        <f>TAN(R27)</f>
        <v>0.69891886227739108</v>
      </c>
      <c r="S29" s="5"/>
      <c r="T29" s="64" t="s">
        <v>1071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">
      <c r="A30" s="341" t="s">
        <v>1072</v>
      </c>
      <c r="B30" s="5">
        <f>B14/4/(B29*B28)</f>
        <v>32212.5</v>
      </c>
      <c r="C30" s="64" t="s">
        <v>247</v>
      </c>
      <c r="D30" s="64" t="s">
        <v>1073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341" t="s">
        <v>1072</v>
      </c>
      <c r="R30" s="265">
        <f>B30/25.4</f>
        <v>1268.2086614173229</v>
      </c>
      <c r="S30" s="64" t="s">
        <v>248</v>
      </c>
      <c r="T30" s="64" t="s">
        <v>1073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x14ac:dyDescent="0.2">
      <c r="A31" s="226"/>
      <c r="B31" s="5"/>
      <c r="C31" s="5"/>
      <c r="D31" s="441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26"/>
      <c r="R31" s="5"/>
      <c r="S31" s="5"/>
      <c r="T31" s="441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x14ac:dyDescent="0.2">
      <c r="A32" s="118" t="s">
        <v>1074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18" t="s">
        <v>1074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x14ac:dyDescent="0.2">
      <c r="A34" s="226" t="s">
        <v>1075</v>
      </c>
      <c r="B34" s="327">
        <f>'Main Dimensions Calcs'!D68</f>
        <v>6</v>
      </c>
      <c r="C34" s="64" t="s">
        <v>346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26" t="s">
        <v>1075</v>
      </c>
      <c r="R34" s="327">
        <f>B34</f>
        <v>6</v>
      </c>
      <c r="S34" s="64" t="s">
        <v>346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x14ac:dyDescent="0.2">
      <c r="A35" s="226" t="s">
        <v>1076</v>
      </c>
      <c r="B35" s="327">
        <f>'Main Dimensions Calcs'!D69</f>
        <v>20856</v>
      </c>
      <c r="C35" s="64" t="s">
        <v>1077</v>
      </c>
      <c r="D35" s="5"/>
      <c r="E35" s="5"/>
      <c r="F35" s="5"/>
      <c r="G35" s="5"/>
      <c r="H35" s="5"/>
      <c r="I35" s="5"/>
      <c r="J35" s="226" t="s">
        <v>1078</v>
      </c>
      <c r="K35" s="327">
        <f>'Main Dimensions Calcs'!D70</f>
        <v>0</v>
      </c>
      <c r="L35" s="5" t="s">
        <v>1079</v>
      </c>
      <c r="M35" s="5"/>
      <c r="N35" s="5"/>
      <c r="O35" s="5"/>
      <c r="P35" s="5"/>
      <c r="Q35" s="226" t="s">
        <v>1076</v>
      </c>
      <c r="R35" s="265">
        <f>B35/25.4</f>
        <v>821.1023622047245</v>
      </c>
      <c r="S35" s="64" t="s">
        <v>1080</v>
      </c>
      <c r="T35" s="5"/>
      <c r="U35" s="5"/>
      <c r="V35" s="5"/>
      <c r="W35" s="5"/>
      <c r="X35" s="5"/>
      <c r="Y35" s="5"/>
      <c r="Z35" s="226" t="s">
        <v>1078</v>
      </c>
      <c r="AA35" s="265">
        <f>K35/25.4</f>
        <v>0</v>
      </c>
      <c r="AB35" s="64" t="s">
        <v>1081</v>
      </c>
      <c r="AC35" s="5"/>
      <c r="AD35" s="5"/>
      <c r="AE35" s="5"/>
      <c r="AF35" s="5"/>
    </row>
    <row r="36" spans="1:32" x14ac:dyDescent="0.2">
      <c r="A36" s="226" t="s">
        <v>1082</v>
      </c>
      <c r="B36" s="327">
        <f>'Main Dimensions Calcs'!D72</f>
        <v>120</v>
      </c>
      <c r="C36" s="64" t="s">
        <v>1083</v>
      </c>
      <c r="D36" s="5"/>
      <c r="E36" s="5"/>
      <c r="F36" s="5"/>
      <c r="G36" s="5"/>
      <c r="H36" s="5"/>
      <c r="I36" s="5"/>
      <c r="J36" s="226" t="s">
        <v>1084</v>
      </c>
      <c r="K36" s="327">
        <f>'Main Dimensions Calcs'!D71</f>
        <v>0</v>
      </c>
      <c r="L36" s="5" t="s">
        <v>1085</v>
      </c>
      <c r="M36" s="5"/>
      <c r="N36" s="5"/>
      <c r="O36" s="5"/>
      <c r="P36" s="5"/>
      <c r="Q36" s="226" t="s">
        <v>1082</v>
      </c>
      <c r="R36" s="265">
        <f>B36/25.4</f>
        <v>4.7244094488188981</v>
      </c>
      <c r="S36" s="64" t="s">
        <v>1086</v>
      </c>
      <c r="T36" s="5"/>
      <c r="U36" s="5"/>
      <c r="V36" s="5"/>
      <c r="W36" s="5"/>
      <c r="X36" s="5"/>
      <c r="Y36" s="5"/>
      <c r="Z36" s="226" t="s">
        <v>1084</v>
      </c>
      <c r="AA36" s="265">
        <f>K36/25.4</f>
        <v>0</v>
      </c>
      <c r="AB36" s="64" t="s">
        <v>1087</v>
      </c>
      <c r="AC36" s="5"/>
      <c r="AD36" s="5"/>
      <c r="AE36" s="5"/>
      <c r="AF36" s="5"/>
    </row>
    <row r="37" spans="1:32" x14ac:dyDescent="0.2">
      <c r="A37" s="226" t="s">
        <v>1088</v>
      </c>
      <c r="B37" s="327">
        <f>'Main Dimensions Calcs'!D73</f>
        <v>10</v>
      </c>
      <c r="C37" s="64" t="s">
        <v>394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26" t="s">
        <v>1088</v>
      </c>
      <c r="R37" s="265">
        <f>B37/25.4</f>
        <v>0.39370078740157483</v>
      </c>
      <c r="S37" s="64" t="s">
        <v>1089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2">
      <c r="A38" s="226" t="s">
        <v>1090</v>
      </c>
      <c r="B38" s="389">
        <f>K35*K36+B36*B37</f>
        <v>1200</v>
      </c>
      <c r="C38" s="64" t="s">
        <v>395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26" t="s">
        <v>1090</v>
      </c>
      <c r="R38" s="389">
        <f>AA35*AA36+R36*R37</f>
        <v>1.8600037200074404</v>
      </c>
      <c r="S38" s="64" t="s">
        <v>1091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x14ac:dyDescent="0.2">
      <c r="A40" s="994" t="s">
        <v>1092</v>
      </c>
      <c r="B40" s="809"/>
      <c r="C40" s="809"/>
      <c r="D40" s="809"/>
      <c r="E40" s="809"/>
      <c r="F40" s="809"/>
      <c r="G40" s="809"/>
      <c r="H40" s="809"/>
      <c r="I40" s="5"/>
      <c r="J40" s="5"/>
      <c r="K40" s="5"/>
      <c r="L40" s="5"/>
      <c r="M40" s="5"/>
      <c r="N40" s="5"/>
      <c r="O40" s="5"/>
      <c r="P40" s="5"/>
      <c r="Q40" s="994" t="s">
        <v>1092</v>
      </c>
      <c r="R40" s="809"/>
      <c r="S40" s="809"/>
      <c r="T40" s="809"/>
      <c r="U40" s="809"/>
      <c r="V40" s="809"/>
      <c r="W40" s="809"/>
      <c r="X40" s="809"/>
      <c r="Y40" s="5"/>
      <c r="Z40" s="5"/>
      <c r="AA40" s="5"/>
      <c r="AB40" s="5"/>
      <c r="AC40" s="5"/>
      <c r="AD40" s="5"/>
      <c r="AE40" s="5"/>
      <c r="AF40" s="5"/>
    </row>
    <row r="41" spans="1:32" x14ac:dyDescent="0.2">
      <c r="A41" s="809"/>
      <c r="B41" s="809"/>
      <c r="C41" s="809"/>
      <c r="D41" s="809"/>
      <c r="E41" s="809"/>
      <c r="F41" s="809"/>
      <c r="G41" s="809"/>
      <c r="H41" s="809"/>
      <c r="I41" s="5"/>
      <c r="J41" s="5"/>
      <c r="K41" s="5"/>
      <c r="L41" s="5"/>
      <c r="M41" s="5"/>
      <c r="N41" s="5"/>
      <c r="O41" s="5"/>
      <c r="P41" s="5"/>
      <c r="Q41" s="809"/>
      <c r="R41" s="809"/>
      <c r="S41" s="809"/>
      <c r="T41" s="809"/>
      <c r="U41" s="809"/>
      <c r="V41" s="809"/>
      <c r="W41" s="809"/>
      <c r="X41" s="809"/>
      <c r="Y41" s="5"/>
      <c r="Z41" s="5"/>
      <c r="AA41" s="5"/>
      <c r="AB41" s="5"/>
      <c r="AC41" s="5"/>
      <c r="AD41" s="5"/>
      <c r="AE41" s="5"/>
      <c r="AF41" s="5"/>
    </row>
    <row r="42" spans="1:3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x14ac:dyDescent="0.2">
      <c r="A43" s="5" t="s">
        <v>1093</v>
      </c>
      <c r="B43" s="389">
        <f>'Main Dimensions Calcs'!D33</f>
        <v>19400</v>
      </c>
      <c r="C43" s="5" t="s">
        <v>247</v>
      </c>
      <c r="D43" s="64" t="s">
        <v>1094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 t="s">
        <v>1093</v>
      </c>
      <c r="R43" s="265">
        <f>B43/25.4</f>
        <v>763.77952755905517</v>
      </c>
      <c r="S43" s="64" t="s">
        <v>248</v>
      </c>
      <c r="T43" s="64" t="s">
        <v>1094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x14ac:dyDescent="0.2">
      <c r="A44" s="5" t="s">
        <v>1095</v>
      </c>
      <c r="B44" s="389">
        <f>'Main Dimensions Calcs'!D54</f>
        <v>18000</v>
      </c>
      <c r="C44" s="5" t="s">
        <v>247</v>
      </c>
      <c r="D44" s="64" t="s">
        <v>1096</v>
      </c>
      <c r="E44" s="5"/>
      <c r="F44" s="5"/>
      <c r="G44" s="5"/>
      <c r="H44" s="5"/>
      <c r="I44" s="5"/>
      <c r="J44" s="263"/>
      <c r="K44" s="5"/>
      <c r="L44" s="5"/>
      <c r="M44" s="5"/>
      <c r="N44" s="5"/>
      <c r="O44" s="5"/>
      <c r="P44" s="5"/>
      <c r="Q44" s="5" t="s">
        <v>1095</v>
      </c>
      <c r="R44" s="265">
        <f>B44/25.4</f>
        <v>708.66141732283472</v>
      </c>
      <c r="S44" s="64" t="s">
        <v>248</v>
      </c>
      <c r="T44" s="64" t="s">
        <v>1096</v>
      </c>
      <c r="U44" s="5"/>
      <c r="V44" s="5"/>
      <c r="W44" s="5"/>
      <c r="X44" s="5"/>
      <c r="Y44" s="5"/>
      <c r="Z44" s="263"/>
      <c r="AA44" s="5"/>
      <c r="AB44" s="5"/>
      <c r="AC44" s="5"/>
      <c r="AD44" s="5"/>
      <c r="AE44" s="5"/>
      <c r="AF44" s="5"/>
    </row>
    <row r="45" spans="1:32" x14ac:dyDescent="0.2">
      <c r="A45" s="5" t="s">
        <v>1097</v>
      </c>
      <c r="B45" s="332">
        <f>'Inner Tank Compression Ring 1'!B39</f>
        <v>0.82009860894593756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 t="s">
        <v>1097</v>
      </c>
      <c r="R45" s="332">
        <f>B45</f>
        <v>0.82009860894593756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x14ac:dyDescent="0.2">
      <c r="A46" s="5" t="s">
        <v>1098</v>
      </c>
      <c r="B46" s="332">
        <f>(1-B45^2)^0.5</f>
        <v>0.57222222222222219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 t="s">
        <v>1098</v>
      </c>
      <c r="R46" s="332">
        <f>(1-R45^2)^0.5</f>
        <v>0.57222222222222219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x14ac:dyDescent="0.2">
      <c r="A48" s="5" t="s">
        <v>1099</v>
      </c>
      <c r="B48" s="263">
        <f>('Main Dimensions Calcs'!J34-'Main Dimensions Calcs'!E82-'Main Dimensions Calcs'!J17)</f>
        <v>-1000</v>
      </c>
      <c r="C48" s="5" t="s">
        <v>247</v>
      </c>
      <c r="D48" s="901" t="s">
        <v>1100</v>
      </c>
      <c r="E48" s="809"/>
      <c r="F48" s="809"/>
      <c r="G48" s="809"/>
      <c r="H48" s="809"/>
      <c r="I48" s="5"/>
      <c r="J48" s="5"/>
      <c r="K48" s="5"/>
      <c r="L48" s="5"/>
      <c r="M48" s="5"/>
      <c r="N48" s="5"/>
      <c r="O48" s="5"/>
      <c r="P48" s="5"/>
      <c r="Q48" s="5" t="s">
        <v>1099</v>
      </c>
      <c r="R48" s="265">
        <f>B48/25.4</f>
        <v>-39.370078740157481</v>
      </c>
      <c r="S48" s="64" t="s">
        <v>248</v>
      </c>
      <c r="T48" s="901" t="s">
        <v>1100</v>
      </c>
      <c r="U48" s="809"/>
      <c r="V48" s="809"/>
      <c r="W48" s="809"/>
      <c r="X48" s="809"/>
      <c r="Y48" s="5"/>
      <c r="Z48" s="5"/>
      <c r="AA48" s="5"/>
      <c r="AB48" s="5"/>
      <c r="AC48" s="5"/>
      <c r="AD48" s="5"/>
      <c r="AE48" s="5"/>
      <c r="AF48" s="5"/>
    </row>
    <row r="49" spans="1:32" x14ac:dyDescent="0.2">
      <c r="A49" s="5"/>
      <c r="B49" s="5"/>
      <c r="C49" s="5"/>
      <c r="D49" s="809"/>
      <c r="E49" s="809"/>
      <c r="F49" s="809"/>
      <c r="G49" s="809"/>
      <c r="H49" s="80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809"/>
      <c r="U49" s="809"/>
      <c r="V49" s="809"/>
      <c r="W49" s="809"/>
      <c r="X49" s="809"/>
      <c r="Y49" s="5"/>
      <c r="Z49" s="5"/>
      <c r="AA49" s="5"/>
      <c r="AB49" s="5"/>
      <c r="AC49" s="5"/>
      <c r="AD49" s="5"/>
      <c r="AE49" s="5"/>
      <c r="AF49" s="5"/>
    </row>
    <row r="50" spans="1:32" x14ac:dyDescent="0.2">
      <c r="A50" s="5" t="s">
        <v>1101</v>
      </c>
      <c r="B50" s="263">
        <f>(B48-B46)/2</f>
        <v>-500.2861111111111</v>
      </c>
      <c r="C50" s="5" t="s">
        <v>247</v>
      </c>
      <c r="D50" s="64" t="s">
        <v>1102</v>
      </c>
      <c r="E50" s="263"/>
      <c r="F50" s="5"/>
      <c r="G50" s="5"/>
      <c r="H50" s="263"/>
      <c r="I50" s="5"/>
      <c r="J50" s="5"/>
      <c r="K50" s="5"/>
      <c r="L50" s="5"/>
      <c r="M50" s="5"/>
      <c r="N50" s="5"/>
      <c r="O50" s="5"/>
      <c r="P50" s="5"/>
      <c r="Q50" s="5" t="s">
        <v>1101</v>
      </c>
      <c r="R50" s="265">
        <f>B50/25.4</f>
        <v>-19.69630358705162</v>
      </c>
      <c r="S50" s="64" t="s">
        <v>248</v>
      </c>
      <c r="T50" s="64" t="s">
        <v>1102</v>
      </c>
      <c r="U50" s="263"/>
      <c r="V50" s="5"/>
      <c r="W50" s="5"/>
      <c r="X50" s="263"/>
      <c r="Y50" s="5"/>
      <c r="Z50" s="5"/>
      <c r="AA50" s="5"/>
      <c r="AB50" s="5"/>
      <c r="AC50" s="5"/>
      <c r="AD50" s="5"/>
      <c r="AE50" s="5"/>
      <c r="AF50" s="5"/>
    </row>
    <row r="51" spans="1:32" x14ac:dyDescent="0.2">
      <c r="A51" s="5" t="s">
        <v>1103</v>
      </c>
      <c r="B51" s="263">
        <f>B50+B20+B48</f>
        <v>5999.7138888888885</v>
      </c>
      <c r="C51" s="5" t="s">
        <v>247</v>
      </c>
      <c r="D51" s="64" t="s">
        <v>1104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 t="s">
        <v>1103</v>
      </c>
      <c r="R51" s="265">
        <f>B51/25.4</f>
        <v>236.20920822397201</v>
      </c>
      <c r="S51" s="64" t="s">
        <v>248</v>
      </c>
      <c r="T51" s="64" t="s">
        <v>1104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18" t="s">
        <v>1105</v>
      </c>
      <c r="R53" s="5"/>
      <c r="S53" s="285"/>
      <c r="T53" s="448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x14ac:dyDescent="0.2">
      <c r="A55" s="118" t="s">
        <v>1105</v>
      </c>
      <c r="B55" s="5"/>
      <c r="C55" s="285"/>
      <c r="D55" s="44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 t="s">
        <v>1106</v>
      </c>
      <c r="R55" s="389">
        <f>B57*145.04</f>
        <v>0.116032</v>
      </c>
      <c r="S55" s="170" t="s">
        <v>926</v>
      </c>
      <c r="T55" s="64" t="s">
        <v>1211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 t="s">
        <v>1108</v>
      </c>
      <c r="R56" s="389">
        <f>B58*145.04</f>
        <v>7.2520000000000001E-2</v>
      </c>
      <c r="S56" s="170" t="s">
        <v>926</v>
      </c>
      <c r="T56" s="64" t="s">
        <v>1109</v>
      </c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x14ac:dyDescent="0.2">
      <c r="A57" s="433" t="s">
        <v>1106</v>
      </c>
      <c r="B57" s="433">
        <f>'Design Conditions'!G16/10</f>
        <v>8.0000000000000004E-4</v>
      </c>
      <c r="C57" s="450" t="s">
        <v>925</v>
      </c>
      <c r="D57" s="366" t="s">
        <v>1209</v>
      </c>
      <c r="E57" s="433"/>
      <c r="F57" s="433"/>
      <c r="G57" s="433"/>
      <c r="H57" s="433"/>
      <c r="I57" s="5"/>
      <c r="J57" s="5"/>
      <c r="K57" s="5"/>
      <c r="L57" s="5"/>
      <c r="M57" s="5"/>
      <c r="N57" s="5"/>
      <c r="O57" s="5"/>
      <c r="P57" s="5"/>
      <c r="Q57" s="5" t="s">
        <v>969</v>
      </c>
      <c r="R57" s="433">
        <f>B59*145.04</f>
        <v>0.69619199999999992</v>
      </c>
      <c r="S57" s="170" t="s">
        <v>926</v>
      </c>
      <c r="T57" s="64" t="s">
        <v>1212</v>
      </c>
      <c r="U57" s="14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x14ac:dyDescent="0.2">
      <c r="A58" s="433" t="s">
        <v>1108</v>
      </c>
      <c r="B58" s="433">
        <f>'Design Conditions'!G22/10</f>
        <v>5.0000000000000001E-4</v>
      </c>
      <c r="C58" s="450" t="s">
        <v>925</v>
      </c>
      <c r="D58" s="366" t="s">
        <v>1109</v>
      </c>
      <c r="E58" s="433"/>
      <c r="F58" s="433"/>
      <c r="G58" s="433"/>
      <c r="H58" s="4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x14ac:dyDescent="0.2">
      <c r="A59" s="433" t="s">
        <v>969</v>
      </c>
      <c r="B59" s="433">
        <v>4.7999999999999996E-3</v>
      </c>
      <c r="C59" s="450" t="s">
        <v>925</v>
      </c>
      <c r="D59" s="366" t="s">
        <v>1213</v>
      </c>
      <c r="E59" s="450"/>
      <c r="F59" s="433"/>
      <c r="G59" s="433"/>
      <c r="H59" s="433"/>
      <c r="I59" s="64"/>
      <c r="J59" s="64"/>
      <c r="K59" s="5"/>
      <c r="L59" s="5"/>
      <c r="M59" s="5"/>
      <c r="N59" s="5"/>
      <c r="O59" s="5"/>
      <c r="P59" s="5"/>
      <c r="Q59" s="226" t="s">
        <v>1112</v>
      </c>
      <c r="R59" s="389">
        <f>B61*145.04</f>
        <v>0.73970400000000003</v>
      </c>
      <c r="S59" s="170" t="s">
        <v>926</v>
      </c>
      <c r="T59" s="64" t="s">
        <v>1113</v>
      </c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x14ac:dyDescent="0.2">
      <c r="A60" s="433"/>
      <c r="B60" s="433"/>
      <c r="C60" s="433"/>
      <c r="D60" s="433"/>
      <c r="E60" s="433"/>
      <c r="F60" s="433"/>
      <c r="G60" s="433"/>
      <c r="H60" s="4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ht="13.5" customHeight="1" thickBot="1" x14ac:dyDescent="0.25">
      <c r="A61" s="451" t="s">
        <v>1112</v>
      </c>
      <c r="B61" s="433">
        <f>+B57+B59-B58</f>
        <v>5.1000000000000004E-3</v>
      </c>
      <c r="C61" s="450" t="s">
        <v>925</v>
      </c>
      <c r="D61" s="366" t="s">
        <v>1113</v>
      </c>
      <c r="E61" s="433"/>
      <c r="F61" s="433"/>
      <c r="G61" s="433"/>
      <c r="H61" s="4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ht="17.25" customHeight="1" thickTop="1" thickBot="1" x14ac:dyDescent="0.3">
      <c r="A62" s="988"/>
      <c r="B62" s="823"/>
      <c r="C62" s="871"/>
      <c r="D62" s="934" t="str">
        <f>'Front Page'!$A$13</f>
        <v>Mechanical  Calculations</v>
      </c>
      <c r="E62" s="842"/>
      <c r="F62" s="842"/>
      <c r="G62" s="842"/>
      <c r="H62" s="859"/>
      <c r="I62" s="5"/>
      <c r="J62" s="5"/>
      <c r="K62" s="5"/>
      <c r="L62" s="5"/>
      <c r="M62" s="5"/>
      <c r="N62" s="5"/>
      <c r="O62" s="5"/>
      <c r="P62" s="5"/>
      <c r="Q62" s="988"/>
      <c r="R62" s="823"/>
      <c r="S62" s="871"/>
      <c r="T62" s="934" t="str">
        <f>'Front Page'!$A$13</f>
        <v>Mechanical  Calculations</v>
      </c>
      <c r="U62" s="842"/>
      <c r="V62" s="842"/>
      <c r="W62" s="842"/>
      <c r="X62" s="859"/>
      <c r="Y62" s="5"/>
      <c r="Z62" s="5"/>
      <c r="AA62" s="5"/>
      <c r="AB62" s="5"/>
      <c r="AC62" s="5"/>
      <c r="AD62" s="5"/>
      <c r="AE62" s="5"/>
      <c r="AF62" s="5"/>
    </row>
    <row r="63" spans="1:32" ht="16.5" customHeight="1" thickBot="1" x14ac:dyDescent="0.3">
      <c r="A63" s="825"/>
      <c r="B63" s="809"/>
      <c r="C63" s="989"/>
      <c r="D63" s="984"/>
      <c r="E63" s="831"/>
      <c r="F63" s="831"/>
      <c r="G63" s="831"/>
      <c r="H63" s="854"/>
      <c r="I63" s="5"/>
      <c r="J63" s="5"/>
      <c r="K63" s="5"/>
      <c r="L63" s="5"/>
      <c r="M63" s="5"/>
      <c r="N63" s="5"/>
      <c r="O63" s="5"/>
      <c r="P63" s="5"/>
      <c r="Q63" s="825"/>
      <c r="R63" s="809"/>
      <c r="S63" s="989"/>
      <c r="T63" s="984"/>
      <c r="U63" s="831"/>
      <c r="V63" s="831"/>
      <c r="W63" s="831"/>
      <c r="X63" s="854"/>
      <c r="Y63" s="5"/>
      <c r="Z63" s="5"/>
      <c r="AA63" s="5"/>
      <c r="AB63" s="5"/>
      <c r="AC63" s="5"/>
      <c r="AD63" s="5"/>
      <c r="AE63" s="5"/>
      <c r="AF63" s="5"/>
    </row>
    <row r="64" spans="1:32" ht="16.5" customHeight="1" thickBot="1" x14ac:dyDescent="0.3">
      <c r="A64" s="827"/>
      <c r="B64" s="828"/>
      <c r="C64" s="857"/>
      <c r="D64" s="985" t="s">
        <v>1042</v>
      </c>
      <c r="E64" s="834"/>
      <c r="F64" s="834"/>
      <c r="G64" s="834"/>
      <c r="H64" s="986"/>
      <c r="I64" s="5"/>
      <c r="J64" s="5"/>
      <c r="K64" s="5"/>
      <c r="L64" s="5"/>
      <c r="M64" s="5"/>
      <c r="N64" s="5"/>
      <c r="O64" s="5"/>
      <c r="P64" s="5"/>
      <c r="Q64" s="827"/>
      <c r="R64" s="828"/>
      <c r="S64" s="857"/>
      <c r="T64" s="985" t="s">
        <v>1042</v>
      </c>
      <c r="U64" s="834"/>
      <c r="V64" s="834"/>
      <c r="W64" s="834"/>
      <c r="X64" s="986"/>
      <c r="Y64" s="5"/>
      <c r="Z64" s="5"/>
      <c r="AA64" s="5"/>
      <c r="AB64" s="5"/>
      <c r="AC64" s="5"/>
      <c r="AD64" s="5"/>
      <c r="AE64" s="5"/>
      <c r="AF64" s="5"/>
    </row>
    <row r="65" spans="1:32" ht="16.5" customHeight="1" thickTop="1" thickBot="1" x14ac:dyDescent="0.3">
      <c r="A65" s="873"/>
      <c r="B65" s="848"/>
      <c r="C65" s="865"/>
      <c r="D65" s="385" t="str">
        <f>'Front Page'!$D$4</f>
        <v>Doc Nº</v>
      </c>
      <c r="E65" s="980"/>
      <c r="F65" s="843"/>
      <c r="G65" s="980"/>
      <c r="H65" s="843"/>
      <c r="I65" s="5"/>
      <c r="J65" s="5"/>
      <c r="K65" s="5"/>
      <c r="L65" s="5"/>
      <c r="M65" s="5"/>
      <c r="N65" s="5"/>
      <c r="O65" s="5"/>
      <c r="P65" s="5"/>
      <c r="Q65" s="873"/>
      <c r="R65" s="848"/>
      <c r="S65" s="865"/>
      <c r="T65" s="385" t="str">
        <f>'Front Page'!$D$4</f>
        <v>Doc Nº</v>
      </c>
      <c r="U65" s="980"/>
      <c r="V65" s="843"/>
      <c r="W65" s="980"/>
      <c r="X65" s="843"/>
      <c r="Y65" s="5"/>
      <c r="Z65" s="5"/>
      <c r="AA65" s="5"/>
      <c r="AB65" s="5"/>
      <c r="AC65" s="5"/>
      <c r="AD65" s="5"/>
      <c r="AE65" s="5"/>
      <c r="AF65" s="5"/>
    </row>
    <row r="66" spans="1:32" ht="15.75" customHeight="1" thickBot="1" x14ac:dyDescent="0.3">
      <c r="A66" s="860"/>
      <c r="B66" s="851"/>
      <c r="C66" s="861"/>
      <c r="D66" s="386" t="str">
        <f>'Front Page'!$D$5</f>
        <v>Project</v>
      </c>
      <c r="E66" s="899"/>
      <c r="F66" s="835"/>
      <c r="G66" s="131" t="s">
        <v>5</v>
      </c>
      <c r="H66" s="132"/>
      <c r="I66" s="5"/>
      <c r="J66" s="5"/>
      <c r="K66" s="5"/>
      <c r="L66" s="5"/>
      <c r="M66" s="5"/>
      <c r="N66" s="5"/>
      <c r="O66" s="5"/>
      <c r="P66" s="5"/>
      <c r="Q66" s="860"/>
      <c r="R66" s="851"/>
      <c r="S66" s="861"/>
      <c r="T66" s="386" t="str">
        <f>'Front Page'!$D$5</f>
        <v>Project</v>
      </c>
      <c r="U66" s="899"/>
      <c r="V66" s="835"/>
      <c r="W66" s="131" t="s">
        <v>5</v>
      </c>
      <c r="X66" s="132"/>
      <c r="Y66" s="5"/>
      <c r="Z66" s="5"/>
      <c r="AA66" s="5"/>
      <c r="AB66" s="5"/>
      <c r="AC66" s="5"/>
      <c r="AD66" s="5"/>
      <c r="AE66" s="5"/>
      <c r="AF66" s="5"/>
    </row>
    <row r="67" spans="1:32" ht="13.5" customHeight="1" thickTop="1" x14ac:dyDescent="0.2">
      <c r="A67" s="4"/>
      <c r="B67" s="4"/>
      <c r="C67" s="4"/>
      <c r="D67" s="4"/>
      <c r="E67" s="4"/>
      <c r="F67" s="4"/>
      <c r="G67" s="4"/>
      <c r="H67" s="4"/>
      <c r="I67" s="5"/>
      <c r="J67" s="5"/>
      <c r="K67" s="5"/>
      <c r="L67" s="5"/>
      <c r="M67" s="5"/>
      <c r="N67" s="5"/>
      <c r="O67" s="5"/>
      <c r="P67" s="5"/>
      <c r="Q67" s="4"/>
      <c r="R67" s="4"/>
      <c r="S67" s="4"/>
      <c r="T67" s="4"/>
      <c r="U67" s="4"/>
      <c r="V67" s="4"/>
      <c r="W67" s="4"/>
      <c r="X67" s="4"/>
      <c r="Y67" s="5"/>
      <c r="Z67" s="5"/>
      <c r="AA67" s="5"/>
      <c r="AB67" s="5"/>
      <c r="AC67" s="5"/>
      <c r="AD67" s="5"/>
      <c r="AE67" s="5"/>
      <c r="AF67" s="5"/>
    </row>
    <row r="68" spans="1:32" x14ac:dyDescent="0.2">
      <c r="A68" s="118" t="s">
        <v>1115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18" t="s">
        <v>1115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x14ac:dyDescent="0.2">
      <c r="A69" s="11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18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x14ac:dyDescent="0.2">
      <c r="A70" s="5"/>
      <c r="B70" s="5"/>
      <c r="C70" s="5"/>
      <c r="D70" s="5"/>
      <c r="E70" s="5" t="s">
        <v>1116</v>
      </c>
      <c r="F70" s="5" t="s">
        <v>1117</v>
      </c>
      <c r="G70" s="5" t="s">
        <v>895</v>
      </c>
      <c r="H70" s="5" t="s">
        <v>1118</v>
      </c>
      <c r="I70" s="5" t="s">
        <v>1119</v>
      </c>
      <c r="J70" s="5"/>
      <c r="K70" s="5"/>
      <c r="L70" s="5"/>
      <c r="M70" s="5"/>
      <c r="N70" s="5"/>
      <c r="O70" s="5"/>
      <c r="P70" s="5"/>
      <c r="Q70" s="5"/>
      <c r="R70" s="5" t="s">
        <v>1116</v>
      </c>
      <c r="S70" s="64" t="s">
        <v>1120</v>
      </c>
      <c r="T70" s="64" t="s">
        <v>1121</v>
      </c>
      <c r="U70" s="366" t="s">
        <v>1122</v>
      </c>
      <c r="V70" s="64" t="s">
        <v>1123</v>
      </c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x14ac:dyDescent="0.2">
      <c r="A71" s="226" t="s">
        <v>1124</v>
      </c>
      <c r="B71" s="453">
        <f t="shared" ref="B71:B84" si="0">I71</f>
        <v>1.2927300000000001E-2</v>
      </c>
      <c r="C71" s="14" t="s">
        <v>925</v>
      </c>
      <c r="D71" s="5"/>
      <c r="E71" s="5">
        <v>1</v>
      </c>
      <c r="F71" s="5">
        <f>B21*B28*B30/1000*9.8/1000000</f>
        <v>1.2627300000000001E-2</v>
      </c>
      <c r="G71" s="5">
        <f t="shared" ref="G71:G84" si="1">$B$57-$B$58</f>
        <v>3.0000000000000003E-4</v>
      </c>
      <c r="H71" s="5">
        <f t="shared" ref="H71:H84" si="2">$B$61</f>
        <v>5.1000000000000004E-3</v>
      </c>
      <c r="I71" s="5">
        <f t="shared" ref="I71:I84" si="3">MAX(H71,G71+F71)</f>
        <v>1.2927300000000001E-2</v>
      </c>
      <c r="J71" s="5"/>
      <c r="K71" s="5"/>
      <c r="L71" s="5"/>
      <c r="M71" s="5"/>
      <c r="N71" s="5"/>
      <c r="O71" s="5"/>
      <c r="P71" s="5"/>
      <c r="Q71" s="226"/>
      <c r="R71" s="5">
        <v>1</v>
      </c>
      <c r="S71" s="5">
        <f t="shared" ref="S71:S83" si="4">F71*145.04</f>
        <v>1.831463592</v>
      </c>
      <c r="T71" s="5">
        <f t="shared" ref="T71:T83" si="5">G71*145.04</f>
        <v>4.3512000000000002E-2</v>
      </c>
      <c r="U71" s="5">
        <v>0.79800000000000004</v>
      </c>
      <c r="V71" s="5">
        <f t="shared" ref="V71:V83" si="6">I71*145.04</f>
        <v>1.874975592</v>
      </c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x14ac:dyDescent="0.2">
      <c r="A72" s="226" t="s">
        <v>1125</v>
      </c>
      <c r="B72" s="453">
        <f t="shared" si="0"/>
        <v>5.1000000000000004E-3</v>
      </c>
      <c r="C72" s="14" t="s">
        <v>925</v>
      </c>
      <c r="D72" s="5"/>
      <c r="E72" s="5">
        <f t="shared" ref="E72:E84" si="7">1-EXP(-($B$51-E90)/$B$30)</f>
        <v>0.10155734566020813</v>
      </c>
      <c r="F72" s="5">
        <f t="shared" ref="F72:F84" si="8">$F$71*E72</f>
        <v>1.2823950708551462E-3</v>
      </c>
      <c r="G72" s="5">
        <f t="shared" si="1"/>
        <v>3.0000000000000003E-4</v>
      </c>
      <c r="H72" s="5">
        <f t="shared" si="2"/>
        <v>5.1000000000000004E-3</v>
      </c>
      <c r="I72" s="5">
        <f t="shared" si="3"/>
        <v>5.1000000000000004E-3</v>
      </c>
      <c r="J72" s="5"/>
      <c r="K72" s="5"/>
      <c r="L72" s="5"/>
      <c r="M72" s="5"/>
      <c r="N72" s="5"/>
      <c r="O72" s="5"/>
      <c r="P72" s="5"/>
      <c r="Q72" s="226"/>
      <c r="R72" s="5">
        <f t="shared" ref="R72:R83" si="9">1-EXP(-($B$51-U90)/$B$30)</f>
        <v>0.16734643169090269</v>
      </c>
      <c r="S72" s="5">
        <f t="shared" si="4"/>
        <v>0.1859985810768304</v>
      </c>
      <c r="T72" s="5">
        <f t="shared" si="5"/>
        <v>4.3512000000000002E-2</v>
      </c>
      <c r="U72" s="5">
        <v>0.79800000000000004</v>
      </c>
      <c r="V72" s="5">
        <f t="shared" si="6"/>
        <v>0.73970400000000003</v>
      </c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x14ac:dyDescent="0.2">
      <c r="A73" s="226" t="s">
        <v>1126</v>
      </c>
      <c r="B73" s="453">
        <f t="shared" si="0"/>
        <v>5.1000000000000004E-3</v>
      </c>
      <c r="C73" s="14" t="s">
        <v>925</v>
      </c>
      <c r="D73" s="5"/>
      <c r="E73" s="5">
        <f t="shared" si="7"/>
        <v>-1.5652036473014164E-2</v>
      </c>
      <c r="F73" s="5">
        <f t="shared" si="8"/>
        <v>-1.9764296015569176E-4</v>
      </c>
      <c r="G73" s="5">
        <f t="shared" si="1"/>
        <v>3.0000000000000003E-4</v>
      </c>
      <c r="H73" s="5">
        <f t="shared" si="2"/>
        <v>5.1000000000000004E-3</v>
      </c>
      <c r="I73" s="5">
        <f t="shared" si="3"/>
        <v>5.1000000000000004E-3</v>
      </c>
      <c r="J73" s="5"/>
      <c r="K73" s="5"/>
      <c r="L73" s="5"/>
      <c r="M73" s="5"/>
      <c r="N73" s="5"/>
      <c r="O73" s="5"/>
      <c r="P73" s="5"/>
      <c r="Q73" s="226"/>
      <c r="R73" s="5">
        <f t="shared" si="9"/>
        <v>0.16331692357089933</v>
      </c>
      <c r="S73" s="5">
        <f t="shared" si="4"/>
        <v>-2.8666134940981532E-2</v>
      </c>
      <c r="T73" s="5">
        <f t="shared" si="5"/>
        <v>4.3512000000000002E-2</v>
      </c>
      <c r="U73" s="5">
        <v>0.79800000000000004</v>
      </c>
      <c r="V73" s="5">
        <f t="shared" si="6"/>
        <v>0.73970400000000003</v>
      </c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x14ac:dyDescent="0.2">
      <c r="A74" s="226" t="s">
        <v>1127</v>
      </c>
      <c r="B74" s="453">
        <f t="shared" si="0"/>
        <v>5.1000000000000004E-3</v>
      </c>
      <c r="C74" s="14" t="s">
        <v>925</v>
      </c>
      <c r="D74" s="5"/>
      <c r="E74" s="5">
        <f t="shared" si="7"/>
        <v>-0.12521655431008272</v>
      </c>
      <c r="F74" s="5">
        <f t="shared" si="8"/>
        <v>-1.5811469962397076E-3</v>
      </c>
      <c r="G74" s="5">
        <f t="shared" si="1"/>
        <v>3.0000000000000003E-4</v>
      </c>
      <c r="H74" s="5">
        <f t="shared" si="2"/>
        <v>5.1000000000000004E-3</v>
      </c>
      <c r="I74" s="5">
        <f t="shared" si="3"/>
        <v>5.1000000000000004E-3</v>
      </c>
      <c r="J74" s="5"/>
      <c r="K74" s="5"/>
      <c r="L74" s="5"/>
      <c r="M74" s="5"/>
      <c r="N74" s="5"/>
      <c r="O74" s="5"/>
      <c r="P74" s="5"/>
      <c r="Q74" s="226"/>
      <c r="R74" s="5">
        <f t="shared" si="9"/>
        <v>0.15993555212369692</v>
      </c>
      <c r="S74" s="5">
        <f t="shared" si="4"/>
        <v>-0.22932956033460716</v>
      </c>
      <c r="T74" s="5">
        <f t="shared" si="5"/>
        <v>4.3512000000000002E-2</v>
      </c>
      <c r="U74" s="5">
        <v>0.79800000000000004</v>
      </c>
      <c r="V74" s="5">
        <f t="shared" si="6"/>
        <v>0.73970400000000003</v>
      </c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x14ac:dyDescent="0.2">
      <c r="A75" s="226" t="s">
        <v>1128</v>
      </c>
      <c r="B75" s="453">
        <f t="shared" si="0"/>
        <v>5.1000000000000004E-3</v>
      </c>
      <c r="C75" s="14" t="s">
        <v>925</v>
      </c>
      <c r="D75" s="5"/>
      <c r="E75" s="5">
        <f t="shared" si="7"/>
        <v>-0.18619422733981716</v>
      </c>
      <c r="F75" s="5">
        <f t="shared" si="8"/>
        <v>-2.3511303668880736E-3</v>
      </c>
      <c r="G75" s="5">
        <f t="shared" si="1"/>
        <v>3.0000000000000003E-4</v>
      </c>
      <c r="H75" s="5">
        <f t="shared" si="2"/>
        <v>5.1000000000000004E-3</v>
      </c>
      <c r="I75" s="5">
        <f t="shared" si="3"/>
        <v>5.1000000000000004E-3</v>
      </c>
      <c r="J75" s="5"/>
      <c r="K75" s="5"/>
      <c r="L75" s="5"/>
      <c r="M75" s="5"/>
      <c r="N75" s="5"/>
      <c r="O75" s="5"/>
      <c r="P75" s="5"/>
      <c r="Q75" s="226"/>
      <c r="R75" s="5">
        <f t="shared" si="9"/>
        <v>0.15818830380264159</v>
      </c>
      <c r="S75" s="5">
        <f t="shared" si="4"/>
        <v>-0.34100794841344617</v>
      </c>
      <c r="T75" s="5">
        <f t="shared" si="5"/>
        <v>4.3512000000000002E-2</v>
      </c>
      <c r="U75" s="5">
        <v>0.79800000000000004</v>
      </c>
      <c r="V75" s="5">
        <f t="shared" si="6"/>
        <v>0.73970400000000003</v>
      </c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x14ac:dyDescent="0.2">
      <c r="A76" s="226" t="s">
        <v>1129</v>
      </c>
      <c r="B76" s="453">
        <f t="shared" si="0"/>
        <v>5.1000000000000004E-3</v>
      </c>
      <c r="C76" s="14" t="s">
        <v>925</v>
      </c>
      <c r="D76" s="5"/>
      <c r="E76" s="5">
        <f t="shared" si="7"/>
        <v>-0.24660045825359411</v>
      </c>
      <c r="F76" s="5">
        <f t="shared" si="8"/>
        <v>-3.1138979665056091E-3</v>
      </c>
      <c r="G76" s="5">
        <f t="shared" si="1"/>
        <v>3.0000000000000003E-4</v>
      </c>
      <c r="H76" s="5">
        <f t="shared" si="2"/>
        <v>5.1000000000000004E-3</v>
      </c>
      <c r="I76" s="5">
        <f t="shared" si="3"/>
        <v>5.1000000000000004E-3</v>
      </c>
      <c r="J76" s="5"/>
      <c r="K76" s="5"/>
      <c r="L76" s="5"/>
      <c r="M76" s="5"/>
      <c r="N76" s="5"/>
      <c r="O76" s="5"/>
      <c r="P76" s="5"/>
      <c r="Q76" s="226"/>
      <c r="R76" s="5">
        <f t="shared" si="9"/>
        <v>0.15654051520006029</v>
      </c>
      <c r="S76" s="5">
        <f t="shared" si="4"/>
        <v>-0.45163976106197351</v>
      </c>
      <c r="T76" s="5">
        <f t="shared" si="5"/>
        <v>4.3512000000000002E-2</v>
      </c>
      <c r="U76" s="5">
        <v>0.79800000000000004</v>
      </c>
      <c r="V76" s="5">
        <f t="shared" si="6"/>
        <v>0.73970400000000003</v>
      </c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x14ac:dyDescent="0.2">
      <c r="A77" s="226" t="s">
        <v>1130</v>
      </c>
      <c r="B77" s="453">
        <f t="shared" si="0"/>
        <v>5.1000000000000004E-3</v>
      </c>
      <c r="C77" s="14" t="s">
        <v>925</v>
      </c>
      <c r="D77" s="5"/>
      <c r="E77" s="5">
        <f t="shared" si="7"/>
        <v>-0.31008284031454991</v>
      </c>
      <c r="F77" s="5">
        <f t="shared" si="8"/>
        <v>-3.9155090495039168E-3</v>
      </c>
      <c r="G77" s="5">
        <f t="shared" si="1"/>
        <v>3.0000000000000003E-4</v>
      </c>
      <c r="H77" s="5">
        <f t="shared" si="2"/>
        <v>5.1000000000000004E-3</v>
      </c>
      <c r="I77" s="5">
        <f t="shared" si="3"/>
        <v>5.1000000000000004E-3</v>
      </c>
      <c r="J77" s="5"/>
      <c r="K77" s="5"/>
      <c r="L77" s="5"/>
      <c r="M77" s="5"/>
      <c r="N77" s="5"/>
      <c r="O77" s="5"/>
      <c r="P77" s="5"/>
      <c r="Q77" s="226"/>
      <c r="R77" s="5">
        <f t="shared" si="9"/>
        <v>0.1548895011644148</v>
      </c>
      <c r="S77" s="5">
        <f t="shared" si="4"/>
        <v>-0.56790543254004811</v>
      </c>
      <c r="T77" s="5">
        <f t="shared" si="5"/>
        <v>4.3512000000000002E-2</v>
      </c>
      <c r="U77" s="5">
        <v>0.79800000000000004</v>
      </c>
      <c r="V77" s="5">
        <f t="shared" si="6"/>
        <v>0.73970400000000003</v>
      </c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x14ac:dyDescent="0.2">
      <c r="A78" s="226" t="s">
        <v>1131</v>
      </c>
      <c r="B78" s="453">
        <f t="shared" si="0"/>
        <v>5.1000000000000004E-3</v>
      </c>
      <c r="C78" s="14" t="s">
        <v>925</v>
      </c>
      <c r="D78" s="5"/>
      <c r="E78" s="5">
        <f t="shared" si="7"/>
        <v>-0.37253054100320071</v>
      </c>
      <c r="F78" s="5">
        <f t="shared" si="8"/>
        <v>-4.7040549004097165E-3</v>
      </c>
      <c r="G78" s="5">
        <f t="shared" si="1"/>
        <v>3.0000000000000003E-4</v>
      </c>
      <c r="H78" s="5">
        <f t="shared" si="2"/>
        <v>5.1000000000000004E-3</v>
      </c>
      <c r="I78" s="5">
        <f t="shared" si="3"/>
        <v>5.1000000000000004E-3</v>
      </c>
      <c r="J78" s="5"/>
      <c r="K78" s="5"/>
      <c r="L78" s="5"/>
      <c r="M78" s="5"/>
      <c r="N78" s="5"/>
      <c r="O78" s="5"/>
      <c r="P78" s="5"/>
      <c r="Q78" s="226"/>
      <c r="R78" s="5">
        <f t="shared" si="9"/>
        <v>0.15333874054324026</v>
      </c>
      <c r="S78" s="5">
        <f t="shared" si="4"/>
        <v>-0.68227612275542526</v>
      </c>
      <c r="T78" s="5">
        <f t="shared" si="5"/>
        <v>4.3512000000000002E-2</v>
      </c>
      <c r="U78" s="5">
        <v>0.79800000000000004</v>
      </c>
      <c r="V78" s="5">
        <f t="shared" si="6"/>
        <v>0.73970400000000003</v>
      </c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x14ac:dyDescent="0.2">
      <c r="A79" s="226" t="s">
        <v>1132</v>
      </c>
      <c r="B79" s="453">
        <f t="shared" si="0"/>
        <v>5.1000000000000004E-3</v>
      </c>
      <c r="C79" s="14" t="s">
        <v>925</v>
      </c>
      <c r="D79" s="5"/>
      <c r="E79" s="5">
        <f t="shared" si="7"/>
        <v>-0.45140938678034326</v>
      </c>
      <c r="F79" s="5">
        <f t="shared" si="8"/>
        <v>-5.7000817496914288E-3</v>
      </c>
      <c r="G79" s="5">
        <f t="shared" si="1"/>
        <v>3.0000000000000003E-4</v>
      </c>
      <c r="H79" s="5">
        <f t="shared" si="2"/>
        <v>5.1000000000000004E-3</v>
      </c>
      <c r="I79" s="5">
        <f t="shared" si="3"/>
        <v>5.1000000000000004E-3</v>
      </c>
      <c r="J79" s="5"/>
      <c r="K79" s="5"/>
      <c r="L79" s="5"/>
      <c r="M79" s="5"/>
      <c r="N79" s="5"/>
      <c r="O79" s="5"/>
      <c r="P79" s="5"/>
      <c r="Q79" s="226"/>
      <c r="R79" s="5">
        <f t="shared" si="9"/>
        <v>0.15147407112764422</v>
      </c>
      <c r="S79" s="5">
        <f t="shared" si="4"/>
        <v>-0.82673985697524477</v>
      </c>
      <c r="T79" s="5">
        <f t="shared" si="5"/>
        <v>4.3512000000000002E-2</v>
      </c>
      <c r="U79" s="5">
        <v>0.79800000000000004</v>
      </c>
      <c r="V79" s="5">
        <f t="shared" si="6"/>
        <v>0.73970400000000003</v>
      </c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x14ac:dyDescent="0.2">
      <c r="A80" s="341" t="s">
        <v>1133</v>
      </c>
      <c r="B80" s="453">
        <f t="shared" si="0"/>
        <v>5.1000000000000004E-3</v>
      </c>
      <c r="C80" s="14" t="s">
        <v>925</v>
      </c>
      <c r="D80" s="5"/>
      <c r="E80" s="5">
        <f t="shared" si="7"/>
        <v>-0.53959345169743478</v>
      </c>
      <c r="F80" s="5">
        <f t="shared" si="8"/>
        <v>-6.8136083926190185E-3</v>
      </c>
      <c r="G80" s="5">
        <f t="shared" si="1"/>
        <v>3.0000000000000003E-4</v>
      </c>
      <c r="H80" s="5">
        <f t="shared" si="2"/>
        <v>5.1000000000000004E-3</v>
      </c>
      <c r="I80" s="5">
        <f t="shared" si="3"/>
        <v>5.1000000000000004E-3</v>
      </c>
      <c r="J80" s="5"/>
      <c r="K80" s="5"/>
      <c r="L80" s="5"/>
      <c r="M80" s="5"/>
      <c r="N80" s="5"/>
      <c r="O80" s="5"/>
      <c r="P80" s="5"/>
      <c r="Q80" s="341"/>
      <c r="R80" s="5">
        <f t="shared" si="9"/>
        <v>0.14950135351207194</v>
      </c>
      <c r="S80" s="5">
        <f t="shared" si="4"/>
        <v>-0.98824576126546237</v>
      </c>
      <c r="T80" s="5">
        <f t="shared" si="5"/>
        <v>4.3512000000000002E-2</v>
      </c>
      <c r="U80" s="5">
        <v>0.79800000000000004</v>
      </c>
      <c r="V80" s="5">
        <f t="shared" si="6"/>
        <v>0.73970400000000003</v>
      </c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x14ac:dyDescent="0.2">
      <c r="A81" s="341" t="s">
        <v>1134</v>
      </c>
      <c r="B81" s="453">
        <f t="shared" si="0"/>
        <v>5.1000000000000004E-3</v>
      </c>
      <c r="C81" s="14" t="s">
        <v>925</v>
      </c>
      <c r="D81" s="5"/>
      <c r="E81" s="5">
        <f t="shared" si="7"/>
        <v>0.1699374458899322</v>
      </c>
      <c r="F81" s="5">
        <f t="shared" si="8"/>
        <v>2.145851110485941E-3</v>
      </c>
      <c r="G81" s="5">
        <f t="shared" si="1"/>
        <v>3.0000000000000003E-4</v>
      </c>
      <c r="H81" s="5">
        <f t="shared" si="2"/>
        <v>5.1000000000000004E-3</v>
      </c>
      <c r="I81" s="5">
        <f t="shared" si="3"/>
        <v>5.1000000000000004E-3</v>
      </c>
      <c r="J81" s="5"/>
      <c r="K81" s="5"/>
      <c r="L81" s="5"/>
      <c r="M81" s="5"/>
      <c r="N81" s="5"/>
      <c r="O81" s="5"/>
      <c r="P81" s="5"/>
      <c r="Q81" s="341"/>
      <c r="R81" s="5">
        <f t="shared" si="9"/>
        <v>0.1699374458899322</v>
      </c>
      <c r="S81" s="5">
        <f t="shared" si="4"/>
        <v>0.31123424506488084</v>
      </c>
      <c r="T81" s="5">
        <f t="shared" si="5"/>
        <v>4.3512000000000002E-2</v>
      </c>
      <c r="U81" s="5">
        <v>0.79800000000000004</v>
      </c>
      <c r="V81" s="5">
        <f t="shared" si="6"/>
        <v>0.73970400000000003</v>
      </c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x14ac:dyDescent="0.2">
      <c r="A82" s="341" t="s">
        <v>1135</v>
      </c>
      <c r="B82" s="453">
        <f t="shared" si="0"/>
        <v>5.1000000000000004E-3</v>
      </c>
      <c r="C82" s="14" t="s">
        <v>925</v>
      </c>
      <c r="D82" s="5"/>
      <c r="E82" s="5">
        <f t="shared" si="7"/>
        <v>0.1699374458899322</v>
      </c>
      <c r="F82" s="5">
        <f t="shared" si="8"/>
        <v>2.145851110485941E-3</v>
      </c>
      <c r="G82" s="5">
        <f t="shared" si="1"/>
        <v>3.0000000000000003E-4</v>
      </c>
      <c r="H82" s="5">
        <f t="shared" si="2"/>
        <v>5.1000000000000004E-3</v>
      </c>
      <c r="I82" s="5">
        <f t="shared" si="3"/>
        <v>5.1000000000000004E-3</v>
      </c>
      <c r="J82" s="5"/>
      <c r="K82" s="5"/>
      <c r="L82" s="5"/>
      <c r="M82" s="5"/>
      <c r="N82" s="5"/>
      <c r="O82" s="5"/>
      <c r="P82" s="5"/>
      <c r="Q82" s="341"/>
      <c r="R82" s="5">
        <f t="shared" si="9"/>
        <v>0.1699374458899322</v>
      </c>
      <c r="S82" s="5">
        <f t="shared" si="4"/>
        <v>0.31123424506488084</v>
      </c>
      <c r="T82" s="5">
        <f t="shared" si="5"/>
        <v>4.3512000000000002E-2</v>
      </c>
      <c r="U82" s="5">
        <v>0.79800000000000004</v>
      </c>
      <c r="V82" s="5">
        <f t="shared" si="6"/>
        <v>0.73970400000000003</v>
      </c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x14ac:dyDescent="0.2">
      <c r="A83" s="226" t="s">
        <v>1132</v>
      </c>
      <c r="B83" s="453">
        <f t="shared" si="0"/>
        <v>5.1000000000000004E-3</v>
      </c>
      <c r="C83" s="14" t="s">
        <v>925</v>
      </c>
      <c r="D83" s="5"/>
      <c r="E83" s="5">
        <f t="shared" si="7"/>
        <v>0.1699374458899322</v>
      </c>
      <c r="F83" s="5">
        <f t="shared" si="8"/>
        <v>2.145851110485941E-3</v>
      </c>
      <c r="G83" s="5">
        <f t="shared" si="1"/>
        <v>3.0000000000000003E-4</v>
      </c>
      <c r="H83" s="5">
        <f t="shared" si="2"/>
        <v>5.1000000000000004E-3</v>
      </c>
      <c r="I83" s="5">
        <f t="shared" si="3"/>
        <v>5.1000000000000004E-3</v>
      </c>
      <c r="J83" s="5"/>
      <c r="K83" s="5"/>
      <c r="L83" s="5"/>
      <c r="M83" s="5"/>
      <c r="N83" s="5"/>
      <c r="O83" s="5"/>
      <c r="P83" s="5"/>
      <c r="Q83" s="226"/>
      <c r="R83" s="5">
        <f t="shared" si="9"/>
        <v>0.1699374458899322</v>
      </c>
      <c r="S83" s="5">
        <f t="shared" si="4"/>
        <v>0.31123424506488084</v>
      </c>
      <c r="T83" s="5">
        <f t="shared" si="5"/>
        <v>4.3512000000000002E-2</v>
      </c>
      <c r="U83" s="5">
        <v>0.79800000000000004</v>
      </c>
      <c r="V83" s="5">
        <f t="shared" si="6"/>
        <v>0.73970400000000003</v>
      </c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x14ac:dyDescent="0.2">
      <c r="A84" s="226" t="s">
        <v>1132</v>
      </c>
      <c r="B84" s="453">
        <f t="shared" si="0"/>
        <v>5.1000000000000004E-3</v>
      </c>
      <c r="C84" s="14" t="s">
        <v>925</v>
      </c>
      <c r="D84" s="5"/>
      <c r="E84" s="5">
        <f t="shared" si="7"/>
        <v>-3.7964414411068015E-2</v>
      </c>
      <c r="F84" s="5">
        <f t="shared" si="8"/>
        <v>-4.793880500928792E-4</v>
      </c>
      <c r="G84" s="5">
        <f t="shared" si="1"/>
        <v>3.0000000000000003E-4</v>
      </c>
      <c r="H84" s="5">
        <f t="shared" si="2"/>
        <v>5.1000000000000004E-3</v>
      </c>
      <c r="I84" s="5">
        <f t="shared" si="3"/>
        <v>5.1000000000000004E-3</v>
      </c>
      <c r="J84" s="5"/>
      <c r="K84" s="5"/>
      <c r="L84" s="5"/>
      <c r="M84" s="5"/>
      <c r="N84" s="5"/>
      <c r="O84" s="5"/>
      <c r="P84" s="5"/>
      <c r="Q84" s="226"/>
      <c r="R84" s="454"/>
      <c r="S84" s="14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x14ac:dyDescent="0.2">
      <c r="A85" s="226"/>
      <c r="B85" s="454"/>
      <c r="C85" s="1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226"/>
      <c r="R85" s="454"/>
      <c r="S85" s="14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x14ac:dyDescent="0.2">
      <c r="A86" s="118" t="s">
        <v>358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18" t="s">
        <v>358</v>
      </c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x14ac:dyDescent="0.2">
      <c r="A88" s="5"/>
      <c r="B88" s="14" t="s">
        <v>360</v>
      </c>
      <c r="C88" s="14" t="s">
        <v>361</v>
      </c>
      <c r="D88" s="14" t="s">
        <v>362</v>
      </c>
      <c r="E88" s="218" t="s">
        <v>363</v>
      </c>
      <c r="F88" s="5"/>
      <c r="G88" s="14" t="s">
        <v>1136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14" t="s">
        <v>360</v>
      </c>
      <c r="S88" s="14" t="s">
        <v>361</v>
      </c>
      <c r="T88" s="14" t="s">
        <v>362</v>
      </c>
      <c r="U88" s="218" t="s">
        <v>363</v>
      </c>
      <c r="V88" s="5"/>
      <c r="W88" s="14" t="s">
        <v>1136</v>
      </c>
      <c r="X88" s="5"/>
      <c r="Y88" s="5"/>
      <c r="Z88" s="5"/>
      <c r="AA88" s="5"/>
      <c r="AB88" s="5"/>
      <c r="AC88" s="5"/>
      <c r="AD88" s="5"/>
      <c r="AE88" s="5"/>
      <c r="AF88" s="5"/>
    </row>
    <row r="89" spans="1:32" x14ac:dyDescent="0.2">
      <c r="A89" s="5"/>
      <c r="B89" s="14" t="s">
        <v>247</v>
      </c>
      <c r="C89" s="14" t="s">
        <v>247</v>
      </c>
      <c r="D89" s="14" t="s">
        <v>247</v>
      </c>
      <c r="E89" s="218" t="s">
        <v>247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170" t="s">
        <v>248</v>
      </c>
      <c r="S89" s="170" t="s">
        <v>248</v>
      </c>
      <c r="T89" s="170" t="s">
        <v>248</v>
      </c>
      <c r="U89" s="111" t="s">
        <v>248</v>
      </c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x14ac:dyDescent="0.2">
      <c r="A90" s="5">
        <v>1</v>
      </c>
      <c r="B90" s="262">
        <v>13</v>
      </c>
      <c r="C90" s="263">
        <f t="shared" ref="C90:C98" si="10">B90^2.5*$B$15/(15203*($B$35/1000)^1.5*I71*1000*$B$16)*1000</f>
        <v>2115.8656457450643</v>
      </c>
      <c r="D90" s="219">
        <v>2550</v>
      </c>
      <c r="E90" s="260">
        <f>D90</f>
        <v>2550</v>
      </c>
      <c r="F90" s="264" t="str">
        <f t="shared" ref="F90:F98" si="11">IF(D90&lt;C90,"OK","ERROR")</f>
        <v>ERROR</v>
      </c>
      <c r="G90" s="265">
        <f t="shared" ref="G90:G98" si="12">C90/D90</f>
        <v>0.82975123362551539</v>
      </c>
      <c r="H90" s="5"/>
      <c r="I90" s="5"/>
      <c r="J90" s="5">
        <f t="shared" ref="J90:J99" si="13">N90/C90</f>
        <v>1.3806872359654259</v>
      </c>
      <c r="K90" s="399"/>
      <c r="L90" s="5">
        <f t="shared" ref="L90:L99" si="14">C90/D90</f>
        <v>0.82975123362551539</v>
      </c>
      <c r="M90" s="5"/>
      <c r="N90" s="260">
        <f t="shared" ref="N90:N99" si="15">$B$14*((B90/$B$14)^0.5)*(0.45+2.42*$B$15*(B90/$B$14)^2/($B$16*B71*(1-$B$19^2)^0.75))</f>
        <v>2921.3486900979537</v>
      </c>
      <c r="O90" s="5"/>
      <c r="P90" s="5"/>
      <c r="Q90" s="5">
        <v>1</v>
      </c>
      <c r="R90" s="219">
        <f t="shared" ref="R90:R99" si="16">B90/25.4</f>
        <v>0.51181102362204722</v>
      </c>
      <c r="S90" s="263">
        <f t="shared" ref="S90:S99" si="17">C90/25.4</f>
        <v>83.301797076577344</v>
      </c>
      <c r="T90" s="219">
        <f t="shared" ref="T90:T99" si="18">D90/25.4</f>
        <v>100.39370078740158</v>
      </c>
      <c r="U90" s="263">
        <f t="shared" ref="U90:U99" si="19">E90/25.4</f>
        <v>100.39370078740158</v>
      </c>
      <c r="V90" s="264" t="str">
        <f t="shared" ref="V90:V99" si="20">IF(T90&lt;S90,"OK","ERROR")</f>
        <v>ERROR</v>
      </c>
      <c r="W90" s="265">
        <f t="shared" ref="W90:W99" si="21">S90/T90</f>
        <v>0.82975123362551539</v>
      </c>
      <c r="X90" s="5"/>
      <c r="Y90" s="5"/>
      <c r="Z90" s="5" t="e">
        <f t="shared" ref="Z90:Z100" si="22">AD90/S90</f>
        <v>#REF!</v>
      </c>
      <c r="AA90" s="399"/>
      <c r="AB90" s="5">
        <f t="shared" ref="AB90:AB100" si="23">S90/T90</f>
        <v>0.82975123362551539</v>
      </c>
      <c r="AC90" s="5"/>
      <c r="AD90" s="260" t="e">
        <f>$B$14*((R90/$B$14)^0.5)*(0.45+2.42*$B$15*(R90/$B$14)^2/($B$16*#REF!*(1-$B$19^2)^0.75))</f>
        <v>#REF!</v>
      </c>
      <c r="AE90" s="5"/>
      <c r="AF90" s="5"/>
    </row>
    <row r="91" spans="1:32" x14ac:dyDescent="0.2">
      <c r="A91" s="5">
        <f t="shared" ref="A91:A98" si="24">A90+1</f>
        <v>2</v>
      </c>
      <c r="B91" s="219">
        <v>11.5</v>
      </c>
      <c r="C91" s="263">
        <f t="shared" si="10"/>
        <v>3947.4074704812947</v>
      </c>
      <c r="D91" s="219">
        <v>3950</v>
      </c>
      <c r="E91" s="14">
        <f t="shared" ref="E91:E98" si="25">E90+D91</f>
        <v>6500</v>
      </c>
      <c r="F91" s="264" t="str">
        <f t="shared" si="11"/>
        <v>ERROR</v>
      </c>
      <c r="G91" s="265">
        <f t="shared" si="12"/>
        <v>0.99934366341298597</v>
      </c>
      <c r="H91" s="5"/>
      <c r="I91" s="5"/>
      <c r="J91" s="5">
        <f t="shared" si="13"/>
        <v>1.3260919520182723</v>
      </c>
      <c r="K91" s="399"/>
      <c r="L91" s="5">
        <f t="shared" si="14"/>
        <v>0.99934366341298597</v>
      </c>
      <c r="M91" s="5"/>
      <c r="N91" s="260">
        <f t="shared" si="15"/>
        <v>5234.6252779420511</v>
      </c>
      <c r="O91" s="5"/>
      <c r="P91" s="5"/>
      <c r="Q91" s="5">
        <f t="shared" ref="Q91:Q99" si="26">Q90+1</f>
        <v>2</v>
      </c>
      <c r="R91" s="219">
        <f t="shared" si="16"/>
        <v>0.45275590551181105</v>
      </c>
      <c r="S91" s="263">
        <f t="shared" si="17"/>
        <v>155.40974293233444</v>
      </c>
      <c r="T91" s="219">
        <f t="shared" si="18"/>
        <v>155.51181102362204</v>
      </c>
      <c r="U91" s="263">
        <f t="shared" si="19"/>
        <v>255.90551181102364</v>
      </c>
      <c r="V91" s="264" t="str">
        <f t="shared" si="20"/>
        <v>ERROR</v>
      </c>
      <c r="W91" s="265">
        <f t="shared" si="21"/>
        <v>0.99934366341298597</v>
      </c>
      <c r="X91" s="5"/>
      <c r="Y91" s="5"/>
      <c r="Z91" s="5" t="e">
        <f t="shared" si="22"/>
        <v>#REF!</v>
      </c>
      <c r="AA91" s="399"/>
      <c r="AB91" s="5">
        <f t="shared" si="23"/>
        <v>0.99934366341298597</v>
      </c>
      <c r="AC91" s="5"/>
      <c r="AD91" s="260" t="e">
        <f>$B$14*((R91/$B$14)^0.5)*(0.45+2.42*$B$15*(R91/$B$14)^2/($B$16*#REF!*(1-$B$19^2)^0.75))</f>
        <v>#REF!</v>
      </c>
      <c r="AE91" s="5"/>
      <c r="AF91" s="5"/>
    </row>
    <row r="92" spans="1:32" x14ac:dyDescent="0.2">
      <c r="A92" s="5">
        <f t="shared" si="24"/>
        <v>3</v>
      </c>
      <c r="B92" s="219">
        <v>10.5</v>
      </c>
      <c r="C92" s="263">
        <f t="shared" si="10"/>
        <v>3144.420402163119</v>
      </c>
      <c r="D92" s="219">
        <v>3300</v>
      </c>
      <c r="E92" s="14">
        <f t="shared" si="25"/>
        <v>9800</v>
      </c>
      <c r="F92" s="264" t="str">
        <f t="shared" si="11"/>
        <v>ERROR</v>
      </c>
      <c r="G92" s="265">
        <f t="shared" si="12"/>
        <v>0.95285466732215729</v>
      </c>
      <c r="H92" s="226"/>
      <c r="I92" s="5"/>
      <c r="J92" s="5">
        <f t="shared" si="13"/>
        <v>1.3371682788150767</v>
      </c>
      <c r="K92" s="399"/>
      <c r="L92" s="5">
        <f t="shared" si="14"/>
        <v>0.95285466732215729</v>
      </c>
      <c r="M92" s="5"/>
      <c r="N92" s="260">
        <f t="shared" si="15"/>
        <v>4204.6192170314689</v>
      </c>
      <c r="O92" s="5"/>
      <c r="P92" s="5"/>
      <c r="Q92" s="5">
        <f t="shared" si="26"/>
        <v>3</v>
      </c>
      <c r="R92" s="219">
        <f t="shared" si="16"/>
        <v>0.41338582677165359</v>
      </c>
      <c r="S92" s="263">
        <f t="shared" si="17"/>
        <v>123.79607882531965</v>
      </c>
      <c r="T92" s="219">
        <f t="shared" si="18"/>
        <v>129.9212598425197</v>
      </c>
      <c r="U92" s="263">
        <f t="shared" si="19"/>
        <v>385.82677165354335</v>
      </c>
      <c r="V92" s="264" t="str">
        <f t="shared" si="20"/>
        <v>ERROR</v>
      </c>
      <c r="W92" s="265">
        <f t="shared" si="21"/>
        <v>0.95285466732215718</v>
      </c>
      <c r="X92" s="226"/>
      <c r="Y92" s="5"/>
      <c r="Z92" s="5" t="e">
        <f t="shared" si="22"/>
        <v>#REF!</v>
      </c>
      <c r="AA92" s="399"/>
      <c r="AB92" s="5">
        <f t="shared" si="23"/>
        <v>0.95285466732215718</v>
      </c>
      <c r="AC92" s="5"/>
      <c r="AD92" s="260" t="e">
        <f>$B$14*((R92/$B$14)^0.5)*(0.45+2.42*$B$15*(R92/$B$14)^2/($B$16*#REF!*(1-$B$19^2)^0.75))</f>
        <v>#REF!</v>
      </c>
      <c r="AE92" s="5"/>
      <c r="AF92" s="5"/>
    </row>
    <row r="93" spans="1:32" x14ac:dyDescent="0.2">
      <c r="A93" s="5">
        <f t="shared" si="24"/>
        <v>4</v>
      </c>
      <c r="B93" s="219">
        <v>9</v>
      </c>
      <c r="C93" s="263">
        <f t="shared" si="10"/>
        <v>2138.8170199279657</v>
      </c>
      <c r="D93" s="219">
        <v>1700</v>
      </c>
      <c r="E93" s="14">
        <f t="shared" si="25"/>
        <v>11500</v>
      </c>
      <c r="F93" s="264" t="str">
        <f t="shared" si="11"/>
        <v>OK</v>
      </c>
      <c r="G93" s="265">
        <f t="shared" si="12"/>
        <v>1.2581276587811563</v>
      </c>
      <c r="H93" s="226"/>
      <c r="I93" s="5"/>
      <c r="J93" s="5">
        <f t="shared" si="13"/>
        <v>1.3612124389734144</v>
      </c>
      <c r="K93" s="399"/>
      <c r="L93" s="5">
        <f t="shared" si="14"/>
        <v>1.2581276587811563</v>
      </c>
      <c r="M93" s="5"/>
      <c r="N93" s="260">
        <f t="shared" si="15"/>
        <v>2911.384332213996</v>
      </c>
      <c r="O93" s="5"/>
      <c r="P93" s="5"/>
      <c r="Q93" s="5">
        <f t="shared" si="26"/>
        <v>4</v>
      </c>
      <c r="R93" s="219">
        <f t="shared" si="16"/>
        <v>0.35433070866141736</v>
      </c>
      <c r="S93" s="263">
        <f t="shared" si="17"/>
        <v>84.205394485352983</v>
      </c>
      <c r="T93" s="219">
        <f t="shared" si="18"/>
        <v>66.929133858267718</v>
      </c>
      <c r="U93" s="263">
        <f t="shared" si="19"/>
        <v>452.75590551181102</v>
      </c>
      <c r="V93" s="264" t="str">
        <f t="shared" si="20"/>
        <v>OK</v>
      </c>
      <c r="W93" s="265">
        <f t="shared" si="21"/>
        <v>1.2581276587811563</v>
      </c>
      <c r="X93" s="226"/>
      <c r="Y93" s="5"/>
      <c r="Z93" s="5" t="e">
        <f t="shared" si="22"/>
        <v>#REF!</v>
      </c>
      <c r="AA93" s="399"/>
      <c r="AB93" s="5">
        <f t="shared" si="23"/>
        <v>1.2581276587811563</v>
      </c>
      <c r="AC93" s="5"/>
      <c r="AD93" s="260" t="e">
        <f>$B$14*((R93/$B$14)^0.5)*(0.45+2.42*$B$15*(R93/$B$14)^2/($B$16*#REF!*(1-$B$19^2)^0.75))</f>
        <v>#REF!</v>
      </c>
      <c r="AE93" s="5"/>
      <c r="AF93" s="5"/>
    </row>
    <row r="94" spans="1:32" x14ac:dyDescent="0.2">
      <c r="A94" s="5">
        <f t="shared" si="24"/>
        <v>5</v>
      </c>
      <c r="B94" s="219">
        <v>8</v>
      </c>
      <c r="C94" s="263">
        <f t="shared" si="10"/>
        <v>1593.2808096218773</v>
      </c>
      <c r="D94" s="219">
        <v>1600</v>
      </c>
      <c r="E94" s="14">
        <f t="shared" si="25"/>
        <v>13100</v>
      </c>
      <c r="F94" s="264" t="str">
        <f t="shared" si="11"/>
        <v>ERROR</v>
      </c>
      <c r="G94" s="265">
        <f t="shared" si="12"/>
        <v>0.99580050601367331</v>
      </c>
      <c r="H94" s="226"/>
      <c r="I94" s="5"/>
      <c r="J94" s="5">
        <f t="shared" si="13"/>
        <v>1.3852854983627143</v>
      </c>
      <c r="K94" s="399"/>
      <c r="L94" s="5">
        <f t="shared" si="14"/>
        <v>0.99580050601367331</v>
      </c>
      <c r="M94" s="5"/>
      <c r="N94" s="260">
        <f t="shared" si="15"/>
        <v>2207.1488003887912</v>
      </c>
      <c r="O94" s="5"/>
      <c r="P94" s="5"/>
      <c r="Q94" s="5">
        <f t="shared" si="26"/>
        <v>5</v>
      </c>
      <c r="R94" s="219">
        <f t="shared" si="16"/>
        <v>0.31496062992125984</v>
      </c>
      <c r="S94" s="263">
        <f t="shared" si="17"/>
        <v>62.727590929995173</v>
      </c>
      <c r="T94" s="219">
        <f t="shared" si="18"/>
        <v>62.99212598425197</v>
      </c>
      <c r="U94" s="263">
        <f t="shared" si="19"/>
        <v>515.74803149606305</v>
      </c>
      <c r="V94" s="264" t="str">
        <f t="shared" si="20"/>
        <v>ERROR</v>
      </c>
      <c r="W94" s="265">
        <f t="shared" si="21"/>
        <v>0.99580050601367331</v>
      </c>
      <c r="X94" s="226"/>
      <c r="Y94" s="5"/>
      <c r="Z94" s="5" t="e">
        <f t="shared" si="22"/>
        <v>#REF!</v>
      </c>
      <c r="AA94" s="399"/>
      <c r="AB94" s="5">
        <f t="shared" si="23"/>
        <v>0.99580050601367331</v>
      </c>
      <c r="AC94" s="5"/>
      <c r="AD94" s="260" t="e">
        <f>$B$14*((R94/$B$14)^0.5)*(0.45+2.42*$B$15*(R94/$B$14)^2/($B$16*#REF!*(1-$B$19^2)^0.75))</f>
        <v>#REF!</v>
      </c>
      <c r="AE94" s="5"/>
      <c r="AF94" s="5"/>
    </row>
    <row r="95" spans="1:32" x14ac:dyDescent="0.2">
      <c r="A95" s="5">
        <f t="shared" si="24"/>
        <v>6</v>
      </c>
      <c r="B95" s="219">
        <v>8</v>
      </c>
      <c r="C95" s="263">
        <f t="shared" si="10"/>
        <v>1593.2808096218773</v>
      </c>
      <c r="D95" s="219">
        <v>1600</v>
      </c>
      <c r="E95" s="14">
        <f t="shared" si="25"/>
        <v>14700</v>
      </c>
      <c r="F95" s="264" t="str">
        <f t="shared" si="11"/>
        <v>ERROR</v>
      </c>
      <c r="G95" s="265">
        <f t="shared" si="12"/>
        <v>0.99580050601367331</v>
      </c>
      <c r="H95" s="226"/>
      <c r="I95" s="5"/>
      <c r="J95" s="5">
        <f t="shared" si="13"/>
        <v>1.3852854983627143</v>
      </c>
      <c r="K95" s="399"/>
      <c r="L95" s="5">
        <f t="shared" si="14"/>
        <v>0.99580050601367331</v>
      </c>
      <c r="M95" s="5"/>
      <c r="N95" s="260">
        <f t="shared" si="15"/>
        <v>2207.1488003887912</v>
      </c>
      <c r="O95" s="5"/>
      <c r="P95" s="5"/>
      <c r="Q95" s="5">
        <f t="shared" si="26"/>
        <v>6</v>
      </c>
      <c r="R95" s="219">
        <f t="shared" si="16"/>
        <v>0.31496062992125984</v>
      </c>
      <c r="S95" s="263">
        <f t="shared" si="17"/>
        <v>62.727590929995173</v>
      </c>
      <c r="T95" s="219">
        <f t="shared" si="18"/>
        <v>62.99212598425197</v>
      </c>
      <c r="U95" s="263">
        <f t="shared" si="19"/>
        <v>578.74015748031502</v>
      </c>
      <c r="V95" s="264" t="str">
        <f t="shared" si="20"/>
        <v>ERROR</v>
      </c>
      <c r="W95" s="265">
        <f t="shared" si="21"/>
        <v>0.99580050601367331</v>
      </c>
      <c r="X95" s="226"/>
      <c r="Y95" s="5"/>
      <c r="Z95" s="5" t="e">
        <f t="shared" si="22"/>
        <v>#REF!</v>
      </c>
      <c r="AA95" s="399"/>
      <c r="AB95" s="5">
        <f t="shared" si="23"/>
        <v>0.99580050601367331</v>
      </c>
      <c r="AC95" s="5"/>
      <c r="AD95" s="260" t="e">
        <f>$B$14*((R95/$B$14)^0.5)*(0.45+2.42*$B$15*(R95/$B$14)^2/($B$16*#REF!*(1-$B$19^2)^0.75))</f>
        <v>#REF!</v>
      </c>
      <c r="AE95" s="5"/>
      <c r="AF95" s="5"/>
    </row>
    <row r="96" spans="1:32" x14ac:dyDescent="0.2">
      <c r="A96" s="5">
        <f t="shared" si="24"/>
        <v>7</v>
      </c>
      <c r="B96" s="219">
        <v>8</v>
      </c>
      <c r="C96" s="263">
        <f t="shared" si="10"/>
        <v>1593.2808096218773</v>
      </c>
      <c r="D96" s="219">
        <v>1500</v>
      </c>
      <c r="E96" s="14">
        <f t="shared" si="25"/>
        <v>16200</v>
      </c>
      <c r="F96" s="264" t="str">
        <f t="shared" si="11"/>
        <v>OK</v>
      </c>
      <c r="G96" s="265">
        <f t="shared" si="12"/>
        <v>1.062187206414585</v>
      </c>
      <c r="H96" s="226"/>
      <c r="I96" s="5"/>
      <c r="J96" s="5">
        <f t="shared" si="13"/>
        <v>1.3852854983627143</v>
      </c>
      <c r="K96" s="399"/>
      <c r="L96" s="5">
        <f t="shared" si="14"/>
        <v>1.062187206414585</v>
      </c>
      <c r="M96" s="5"/>
      <c r="N96" s="260">
        <f t="shared" si="15"/>
        <v>2207.1488003887912</v>
      </c>
      <c r="O96" s="5"/>
      <c r="P96" s="5"/>
      <c r="Q96" s="5">
        <f t="shared" si="26"/>
        <v>7</v>
      </c>
      <c r="R96" s="219">
        <f t="shared" si="16"/>
        <v>0.31496062992125984</v>
      </c>
      <c r="S96" s="263">
        <f t="shared" si="17"/>
        <v>62.727590929995173</v>
      </c>
      <c r="T96" s="219">
        <f t="shared" si="18"/>
        <v>59.055118110236222</v>
      </c>
      <c r="U96" s="263">
        <f t="shared" si="19"/>
        <v>637.79527559055123</v>
      </c>
      <c r="V96" s="264" t="str">
        <f t="shared" si="20"/>
        <v>OK</v>
      </c>
      <c r="W96" s="265">
        <f t="shared" si="21"/>
        <v>1.062187206414585</v>
      </c>
      <c r="X96" s="226"/>
      <c r="Y96" s="5"/>
      <c r="Z96" s="5" t="e">
        <f t="shared" si="22"/>
        <v>#REF!</v>
      </c>
      <c r="AA96" s="399"/>
      <c r="AB96" s="5">
        <f t="shared" si="23"/>
        <v>1.062187206414585</v>
      </c>
      <c r="AC96" s="5"/>
      <c r="AD96" s="260" t="e">
        <f>$B$14*((R96/$B$14)^0.5)*(0.45+2.42*$B$15*(R96/$B$14)^2/($B$16*#REF!*(1-$B$19^2)^0.75))</f>
        <v>#REF!</v>
      </c>
      <c r="AE96" s="5"/>
      <c r="AF96" s="5"/>
    </row>
    <row r="97" spans="1:32" x14ac:dyDescent="0.2">
      <c r="A97" s="5">
        <f t="shared" si="24"/>
        <v>8</v>
      </c>
      <c r="B97" s="219">
        <v>9</v>
      </c>
      <c r="C97" s="263">
        <f t="shared" si="10"/>
        <v>2138.8170199279657</v>
      </c>
      <c r="D97" s="219">
        <v>1800</v>
      </c>
      <c r="E97" s="14">
        <f t="shared" si="25"/>
        <v>18000</v>
      </c>
      <c r="F97" s="264" t="str">
        <f t="shared" si="11"/>
        <v>OK</v>
      </c>
      <c r="G97" s="265">
        <f t="shared" si="12"/>
        <v>1.1882316777377586</v>
      </c>
      <c r="H97" s="226"/>
      <c r="I97" s="5"/>
      <c r="J97" s="5">
        <f t="shared" si="13"/>
        <v>1.3612124389734144</v>
      </c>
      <c r="K97" s="399"/>
      <c r="L97" s="5">
        <f t="shared" si="14"/>
        <v>1.1882316777377586</v>
      </c>
      <c r="M97" s="5"/>
      <c r="N97" s="260">
        <f t="shared" si="15"/>
        <v>2911.384332213996</v>
      </c>
      <c r="O97" s="5"/>
      <c r="P97" s="5"/>
      <c r="Q97" s="5">
        <f t="shared" si="26"/>
        <v>8</v>
      </c>
      <c r="R97" s="219">
        <f t="shared" si="16"/>
        <v>0.35433070866141736</v>
      </c>
      <c r="S97" s="263">
        <f t="shared" si="17"/>
        <v>84.205394485352983</v>
      </c>
      <c r="T97" s="219">
        <f t="shared" si="18"/>
        <v>70.866141732283467</v>
      </c>
      <c r="U97" s="263">
        <f t="shared" si="19"/>
        <v>708.66141732283472</v>
      </c>
      <c r="V97" s="264" t="str">
        <f t="shared" si="20"/>
        <v>OK</v>
      </c>
      <c r="W97" s="265">
        <f t="shared" si="21"/>
        <v>1.1882316777377586</v>
      </c>
      <c r="X97" s="226"/>
      <c r="Y97" s="5"/>
      <c r="Z97" s="5" t="e">
        <f t="shared" si="22"/>
        <v>#REF!</v>
      </c>
      <c r="AA97" s="399"/>
      <c r="AB97" s="5">
        <f t="shared" si="23"/>
        <v>1.1882316777377586</v>
      </c>
      <c r="AC97" s="5"/>
      <c r="AD97" s="260" t="e">
        <f>$B$14*((R97/$B$14)^0.5)*(0.45+2.42*$B$15*(R97/$B$14)^2/($B$16*#REF!*(1-$B$19^2)^0.75))</f>
        <v>#REF!</v>
      </c>
      <c r="AE97" s="5"/>
      <c r="AF97" s="5"/>
    </row>
    <row r="98" spans="1:32" x14ac:dyDescent="0.2">
      <c r="A98" s="5">
        <f t="shared" si="24"/>
        <v>9</v>
      </c>
      <c r="B98" s="219">
        <v>9</v>
      </c>
      <c r="C98" s="263">
        <f t="shared" si="10"/>
        <v>2138.8170199279657</v>
      </c>
      <c r="D98" s="219">
        <v>1900</v>
      </c>
      <c r="E98" s="14">
        <f t="shared" si="25"/>
        <v>19900</v>
      </c>
      <c r="F98" s="264" t="str">
        <f t="shared" si="11"/>
        <v>OK</v>
      </c>
      <c r="G98" s="265">
        <f t="shared" si="12"/>
        <v>1.1256931683831399</v>
      </c>
      <c r="H98" s="226"/>
      <c r="I98" s="5"/>
      <c r="J98" s="5">
        <f t="shared" si="13"/>
        <v>1.3612124389734144</v>
      </c>
      <c r="K98" s="399"/>
      <c r="L98" s="5">
        <f t="shared" si="14"/>
        <v>1.1256931683831399</v>
      </c>
      <c r="M98" s="5"/>
      <c r="N98" s="260">
        <f t="shared" si="15"/>
        <v>2911.384332213996</v>
      </c>
      <c r="O98" s="5"/>
      <c r="P98" s="5"/>
      <c r="Q98" s="5">
        <f t="shared" si="26"/>
        <v>9</v>
      </c>
      <c r="R98" s="219">
        <f t="shared" si="16"/>
        <v>0.35433070866141736</v>
      </c>
      <c r="S98" s="263">
        <f t="shared" si="17"/>
        <v>84.205394485352983</v>
      </c>
      <c r="T98" s="219">
        <f t="shared" si="18"/>
        <v>74.803149606299215</v>
      </c>
      <c r="U98" s="263">
        <f t="shared" si="19"/>
        <v>783.46456692913387</v>
      </c>
      <c r="V98" s="264" t="str">
        <f t="shared" si="20"/>
        <v>OK</v>
      </c>
      <c r="W98" s="265">
        <f t="shared" si="21"/>
        <v>1.1256931683831399</v>
      </c>
      <c r="X98" s="226"/>
      <c r="Y98" s="5"/>
      <c r="Z98" s="5" t="e">
        <f t="shared" si="22"/>
        <v>#REF!</v>
      </c>
      <c r="AA98" s="399"/>
      <c r="AB98" s="5">
        <f t="shared" si="23"/>
        <v>1.1256931683831399</v>
      </c>
      <c r="AC98" s="5"/>
      <c r="AD98" s="260" t="e">
        <f>$B$14*((R98/$B$14)^0.5)*(0.45+2.42*$B$15*(R98/$B$14)^2/($B$16*#REF!*(1-$B$19^2)^0.75))</f>
        <v>#REF!</v>
      </c>
      <c r="AE98" s="5"/>
      <c r="AF98" s="5"/>
    </row>
    <row r="99" spans="1:32" x14ac:dyDescent="0.2">
      <c r="A99" s="5"/>
      <c r="B99" s="219"/>
      <c r="C99" s="263"/>
      <c r="D99" s="219"/>
      <c r="E99" s="14"/>
      <c r="F99" s="264"/>
      <c r="G99" s="265"/>
      <c r="H99" s="226"/>
      <c r="I99" s="5"/>
      <c r="J99" s="5" t="e">
        <f t="shared" si="13"/>
        <v>#DIV/0!</v>
      </c>
      <c r="K99" s="399"/>
      <c r="L99" s="5" t="e">
        <f t="shared" si="14"/>
        <v>#DIV/0!</v>
      </c>
      <c r="M99" s="5"/>
      <c r="N99" s="260">
        <f t="shared" si="15"/>
        <v>0</v>
      </c>
      <c r="O99" s="5"/>
      <c r="P99" s="5"/>
      <c r="Q99" s="5">
        <f t="shared" si="26"/>
        <v>10</v>
      </c>
      <c r="R99" s="219">
        <f t="shared" si="16"/>
        <v>0</v>
      </c>
      <c r="S99" s="263">
        <f t="shared" si="17"/>
        <v>0</v>
      </c>
      <c r="T99" s="219">
        <f t="shared" si="18"/>
        <v>0</v>
      </c>
      <c r="U99" s="263">
        <f t="shared" si="19"/>
        <v>0</v>
      </c>
      <c r="V99" s="264" t="str">
        <f t="shared" si="20"/>
        <v>ERROR</v>
      </c>
      <c r="W99" s="265" t="e">
        <f t="shared" si="21"/>
        <v>#DIV/0!</v>
      </c>
      <c r="X99" s="226"/>
      <c r="Y99" s="5"/>
      <c r="Z99" s="5" t="e">
        <f t="shared" si="22"/>
        <v>#REF!</v>
      </c>
      <c r="AA99" s="399"/>
      <c r="AB99" s="5" t="e">
        <f t="shared" si="23"/>
        <v>#DIV/0!</v>
      </c>
      <c r="AC99" s="5"/>
      <c r="AD99" s="260" t="e">
        <f>$B$14*((R99/$B$14)^0.5)*(0.45+2.42*$B$15*(R99/$B$14)^2/($B$16*#REF!*(1-$B$19^2)^0.75))</f>
        <v>#REF!</v>
      </c>
      <c r="AE99" s="5"/>
      <c r="AF99" s="5"/>
    </row>
    <row r="100" spans="1:32" x14ac:dyDescent="0.2">
      <c r="A100" s="5"/>
      <c r="B100" s="14"/>
      <c r="C100" s="263"/>
      <c r="D100" s="14"/>
      <c r="E100" s="14"/>
      <c r="F100" s="14"/>
      <c r="G100" s="265"/>
      <c r="H100" s="226"/>
      <c r="I100" s="5"/>
      <c r="J100" s="5"/>
      <c r="K100" s="14"/>
      <c r="L100" s="5"/>
      <c r="M100" s="5"/>
      <c r="N100" s="260"/>
      <c r="O100" s="5"/>
      <c r="P100" s="5"/>
      <c r="Q100" s="5"/>
      <c r="R100" s="14"/>
      <c r="S100" s="263"/>
      <c r="T100" s="14"/>
      <c r="U100" s="263"/>
      <c r="V100" s="14"/>
      <c r="W100" s="265"/>
      <c r="X100" s="226"/>
      <c r="Y100" s="5"/>
      <c r="Z100" s="5" t="e">
        <f t="shared" si="22"/>
        <v>#REF!</v>
      </c>
      <c r="AA100" s="399"/>
      <c r="AB100" s="5" t="e">
        <f t="shared" si="23"/>
        <v>#DIV/0!</v>
      </c>
      <c r="AC100" s="5"/>
      <c r="AD100" s="260" t="e">
        <f>$B$14*((R100/$B$14)^0.5)*(0.45+2.42*$B$15*(R100/$B$14)^2/($B$16*#REF!*(1-$B$19^2)^0.75))</f>
        <v>#REF!</v>
      </c>
      <c r="AE100" s="5"/>
      <c r="AF100" s="5"/>
    </row>
    <row r="101" spans="1:32" x14ac:dyDescent="0.2">
      <c r="A101" s="5"/>
      <c r="B101" s="14"/>
      <c r="C101" s="263"/>
      <c r="D101" s="14"/>
      <c r="E101" s="14"/>
      <c r="F101" s="14"/>
      <c r="G101" s="265"/>
      <c r="H101" s="226"/>
      <c r="I101" s="5"/>
      <c r="J101" s="5"/>
      <c r="K101" s="14"/>
      <c r="L101" s="5"/>
      <c r="M101" s="5"/>
      <c r="N101" s="260"/>
      <c r="O101" s="5"/>
      <c r="P101" s="5"/>
      <c r="Q101" s="5"/>
      <c r="R101" s="14"/>
      <c r="S101" s="263"/>
      <c r="T101" s="14"/>
      <c r="U101" s="263"/>
      <c r="V101" s="14"/>
      <c r="W101" s="265"/>
      <c r="X101" s="226"/>
      <c r="Y101" s="5"/>
      <c r="Z101" s="5"/>
      <c r="AA101" s="399"/>
      <c r="AB101" s="5"/>
      <c r="AC101" s="5"/>
      <c r="AD101" s="260"/>
      <c r="AE101" s="5"/>
      <c r="AF101" s="5"/>
    </row>
    <row r="102" spans="1:32" x14ac:dyDescent="0.2">
      <c r="A102" s="5"/>
      <c r="B102" s="14"/>
      <c r="C102" s="263"/>
      <c r="D102" s="14"/>
      <c r="E102" s="457">
        <f>'Main Dimensions Calcs'!D50</f>
        <v>7200</v>
      </c>
      <c r="F102" s="14"/>
      <c r="G102" s="265"/>
      <c r="H102" s="226"/>
      <c r="I102" s="5"/>
      <c r="J102" s="5"/>
      <c r="K102" s="14"/>
      <c r="L102" s="5"/>
      <c r="M102" s="5"/>
      <c r="N102" s="260"/>
      <c r="O102" s="5"/>
      <c r="P102" s="5"/>
      <c r="Q102" s="5"/>
      <c r="R102" s="14"/>
      <c r="S102" s="263"/>
      <c r="T102" s="14"/>
      <c r="U102" s="263"/>
      <c r="V102" s="14"/>
      <c r="W102" s="265"/>
      <c r="X102" s="226"/>
      <c r="Y102" s="5"/>
      <c r="Z102" s="5"/>
      <c r="AA102" s="399"/>
      <c r="AB102" s="5"/>
      <c r="AC102" s="5"/>
      <c r="AD102" s="260"/>
      <c r="AE102" s="5"/>
      <c r="AF102" s="5"/>
    </row>
    <row r="103" spans="1:32" x14ac:dyDescent="0.2">
      <c r="A103" s="5"/>
      <c r="B103" s="14"/>
      <c r="C103" s="263"/>
      <c r="D103" s="14"/>
      <c r="E103" s="14"/>
      <c r="F103" s="14"/>
      <c r="G103" s="265"/>
      <c r="H103" s="226"/>
      <c r="I103" s="5"/>
      <c r="J103" s="5"/>
      <c r="K103" s="14"/>
      <c r="L103" s="5"/>
      <c r="M103" s="5"/>
      <c r="N103" s="260"/>
      <c r="O103" s="5"/>
      <c r="P103" s="5"/>
      <c r="Q103" s="5"/>
      <c r="R103" s="14"/>
      <c r="S103" s="263"/>
      <c r="T103" s="14"/>
      <c r="U103" s="263"/>
      <c r="V103" s="14"/>
      <c r="W103" s="265"/>
      <c r="X103" s="226"/>
      <c r="Y103" s="5"/>
      <c r="Z103" s="5" t="e">
        <f>AD103/S103</f>
        <v>#REF!</v>
      </c>
      <c r="AA103" s="399"/>
      <c r="AB103" s="5" t="e">
        <f>S103/T103</f>
        <v>#DIV/0!</v>
      </c>
      <c r="AC103" s="5"/>
      <c r="AD103" s="260" t="e">
        <f>$B$14*((R103/$B$14)^0.5)*(0.45+2.42*$B$15*(R103/$B$14)^2/($B$16*#REF!*(1-$B$19^2)^0.75))</f>
        <v>#REF!</v>
      </c>
      <c r="AE103" s="5"/>
      <c r="AF103" s="5"/>
    </row>
    <row r="104" spans="1:32" x14ac:dyDescent="0.2">
      <c r="A104" s="5"/>
      <c r="B104" s="14"/>
      <c r="C104" s="263"/>
      <c r="D104" s="14"/>
      <c r="E104" s="14"/>
      <c r="F104" s="14"/>
      <c r="G104" s="265"/>
      <c r="H104" s="226"/>
      <c r="I104" s="5"/>
      <c r="J104" s="5"/>
      <c r="K104" s="5"/>
      <c r="L104" s="5"/>
      <c r="M104" s="5"/>
      <c r="N104" s="260"/>
      <c r="O104" s="5"/>
      <c r="P104" s="5"/>
      <c r="Q104" s="5"/>
      <c r="R104" s="14" t="s">
        <v>1140</v>
      </c>
      <c r="S104" s="263"/>
      <c r="T104" s="14"/>
      <c r="U104" s="14"/>
      <c r="V104" s="14"/>
      <c r="W104" s="265"/>
      <c r="X104" s="226"/>
      <c r="Y104" s="5"/>
      <c r="Z104" s="5" t="e">
        <f>AD104/S104</f>
        <v>#VALUE!</v>
      </c>
      <c r="AA104" s="5"/>
      <c r="AB104" s="5" t="e">
        <f>S104/T104</f>
        <v>#DIV/0!</v>
      </c>
      <c r="AC104" s="5"/>
      <c r="AD104" s="260" t="e">
        <f>$B$14*((R104/$B$14)^0.5)*(0.45+2.42*$B$15*(R104/$B$14)^2/($B$16*#REF!*(1-$B$19^2)^0.75))</f>
        <v>#VALUE!</v>
      </c>
      <c r="AE104" s="5"/>
      <c r="AF104" s="5"/>
    </row>
    <row r="105" spans="1:32" x14ac:dyDescent="0.2">
      <c r="A105" s="5"/>
      <c r="B105" s="14"/>
      <c r="C105" s="263"/>
      <c r="D105" s="14"/>
      <c r="E105" s="5"/>
      <c r="F105" s="14"/>
      <c r="G105" s="265"/>
      <c r="H105" s="226"/>
      <c r="I105" s="5"/>
      <c r="J105" s="5"/>
      <c r="K105" s="5"/>
      <c r="L105" s="5"/>
      <c r="M105" s="5"/>
      <c r="N105" s="260"/>
      <c r="O105" s="5"/>
      <c r="P105" s="5"/>
      <c r="Q105" s="5"/>
      <c r="R105" s="14"/>
      <c r="S105" s="263"/>
      <c r="T105" s="14"/>
      <c r="U105" s="226">
        <f>E102</f>
        <v>7200</v>
      </c>
      <c r="V105" s="14"/>
      <c r="W105" s="265"/>
      <c r="X105" s="226"/>
      <c r="Y105" s="5"/>
      <c r="Z105" s="5" t="e">
        <f>S108/S105</f>
        <v>#DIV/0!</v>
      </c>
      <c r="AA105" s="5"/>
      <c r="AB105" s="5" t="e">
        <f>S105/T108</f>
        <v>#DIV/0!</v>
      </c>
      <c r="AC105" s="5"/>
      <c r="AD105" s="260" t="e">
        <f>$B$14*((R105/$B$14)^0.5)*(0.45+2.42*$B$15*(R105/$B$14)^2/($B$16*R85*(1-$B$19^2)^0.75))</f>
        <v>#DIV/0!</v>
      </c>
      <c r="AE105" s="5"/>
      <c r="AF105" s="5"/>
    </row>
    <row r="106" spans="1:32" ht="12.75" customHeight="1" x14ac:dyDescent="0.2">
      <c r="A106" s="28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285"/>
      <c r="R106" s="5"/>
      <c r="S106" s="5"/>
      <c r="T106" s="5"/>
      <c r="U106" s="5"/>
      <c r="V106" s="5"/>
      <c r="W106" s="5"/>
      <c r="X106" s="5"/>
      <c r="Y106" s="5"/>
      <c r="Z106" s="5" t="e">
        <f>S106/Y106</f>
        <v>#DIV/0!</v>
      </c>
      <c r="AA106" s="5"/>
      <c r="AB106" s="5" t="e">
        <f>Y106/T109</f>
        <v>#DIV/0!</v>
      </c>
      <c r="AC106" s="5"/>
      <c r="AD106" s="5"/>
      <c r="AE106" s="5"/>
      <c r="AF106" s="5"/>
    </row>
    <row r="107" spans="1:32" ht="12.75" customHeight="1" x14ac:dyDescent="0.2">
      <c r="A107" s="5" t="s">
        <v>360</v>
      </c>
      <c r="B107" s="64" t="s">
        <v>1141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 t="s">
        <v>360</v>
      </c>
      <c r="R107" s="64" t="s">
        <v>1141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 ht="12.75" customHeight="1" x14ac:dyDescent="0.2">
      <c r="A108" s="5" t="s">
        <v>196</v>
      </c>
      <c r="B108" s="64" t="s">
        <v>1142</v>
      </c>
      <c r="C108" s="5"/>
      <c r="D108" s="5"/>
      <c r="E108" s="5"/>
      <c r="F108" s="5"/>
      <c r="G108" s="5"/>
      <c r="H108" s="5"/>
      <c r="I108" s="226"/>
      <c r="J108" s="5"/>
      <c r="K108" s="5"/>
      <c r="L108" s="5"/>
      <c r="M108" s="5"/>
      <c r="N108" s="5"/>
      <c r="O108" s="5"/>
      <c r="P108" s="5"/>
      <c r="Q108" s="5" t="s">
        <v>196</v>
      </c>
      <c r="R108" s="64" t="s">
        <v>1142</v>
      </c>
      <c r="S108" s="5"/>
      <c r="T108" s="5"/>
      <c r="U108" s="5"/>
      <c r="V108" s="5"/>
      <c r="W108" s="5"/>
      <c r="X108" s="5"/>
      <c r="Y108" s="226"/>
      <c r="Z108" s="5"/>
      <c r="AA108" s="5"/>
      <c r="AB108" s="5"/>
      <c r="AC108" s="5"/>
      <c r="AD108" s="5"/>
      <c r="AE108" s="5"/>
      <c r="AF108" s="5"/>
    </row>
    <row r="109" spans="1:32" ht="12.75" customHeight="1" x14ac:dyDescent="0.2">
      <c r="A109" s="5" t="s">
        <v>1143</v>
      </c>
      <c r="B109" s="900" t="s">
        <v>1144</v>
      </c>
      <c r="C109" s="809"/>
      <c r="D109" s="809"/>
      <c r="E109" s="809"/>
      <c r="F109" s="809"/>
      <c r="G109" s="809"/>
      <c r="H109" s="460"/>
      <c r="I109" s="226"/>
      <c r="J109" s="5"/>
      <c r="K109" s="5"/>
      <c r="L109" s="5"/>
      <c r="M109" s="5"/>
      <c r="N109" s="5"/>
      <c r="O109" s="5"/>
      <c r="P109" s="5"/>
      <c r="Q109" s="5" t="s">
        <v>1143</v>
      </c>
      <c r="R109" s="900" t="s">
        <v>1144</v>
      </c>
      <c r="S109" s="809"/>
      <c r="T109" s="809"/>
      <c r="U109" s="809"/>
      <c r="V109" s="809"/>
      <c r="W109" s="809"/>
      <c r="X109" s="460"/>
      <c r="Y109" s="226"/>
      <c r="Z109" s="5"/>
      <c r="AA109" s="5"/>
      <c r="AB109" s="5"/>
      <c r="AC109" s="5"/>
      <c r="AD109" s="5"/>
      <c r="AE109" s="5"/>
      <c r="AF109" s="5"/>
    </row>
    <row r="110" spans="1:32" ht="12.75" customHeight="1" x14ac:dyDescent="0.2">
      <c r="A110" s="5" t="s">
        <v>361</v>
      </c>
      <c r="B110" s="64" t="s">
        <v>1145</v>
      </c>
      <c r="C110" s="5"/>
      <c r="D110" s="5"/>
      <c r="E110" s="460"/>
      <c r="F110" s="460"/>
      <c r="G110" s="460"/>
      <c r="H110" s="460"/>
      <c r="I110" s="226"/>
      <c r="J110" s="5"/>
      <c r="K110" s="5"/>
      <c r="L110" s="5"/>
      <c r="M110" s="5"/>
      <c r="N110" s="5"/>
      <c r="O110" s="5"/>
      <c r="P110" s="5"/>
      <c r="Q110" s="5" t="s">
        <v>361</v>
      </c>
      <c r="R110" s="64" t="s">
        <v>1145</v>
      </c>
      <c r="S110" s="5"/>
      <c r="T110" s="5"/>
      <c r="U110" s="460"/>
      <c r="V110" s="460"/>
      <c r="W110" s="460"/>
      <c r="X110" s="460"/>
      <c r="Y110" s="226"/>
      <c r="Z110" s="5"/>
      <c r="AA110" s="5"/>
      <c r="AB110" s="5"/>
      <c r="AC110" s="5"/>
      <c r="AD110" s="5"/>
      <c r="AE110" s="5"/>
      <c r="AF110" s="5"/>
    </row>
    <row r="111" spans="1:32" ht="15.75" customHeight="1" x14ac:dyDescent="0.2">
      <c r="A111" s="5" t="s">
        <v>362</v>
      </c>
      <c r="B111" s="64" t="s">
        <v>1146</v>
      </c>
      <c r="C111" s="5"/>
      <c r="D111" s="5"/>
      <c r="E111" s="5"/>
      <c r="F111" s="5"/>
      <c r="G111" s="5"/>
      <c r="H111" s="5"/>
      <c r="I111" s="226"/>
      <c r="J111" s="5"/>
      <c r="K111" s="5"/>
      <c r="L111" s="5"/>
      <c r="M111" s="5"/>
      <c r="N111" s="5"/>
      <c r="O111" s="5"/>
      <c r="P111" s="5"/>
      <c r="Q111" s="5" t="s">
        <v>362</v>
      </c>
      <c r="R111" s="64" t="s">
        <v>1146</v>
      </c>
      <c r="S111" s="5"/>
      <c r="T111" s="5"/>
      <c r="U111" s="5"/>
      <c r="V111" s="5"/>
      <c r="W111" s="5"/>
      <c r="X111" s="5"/>
      <c r="Y111" s="226"/>
      <c r="Z111" s="5"/>
      <c r="AA111" s="5"/>
      <c r="AB111" s="5"/>
      <c r="AC111" s="5"/>
      <c r="AD111" s="5"/>
      <c r="AE111" s="5"/>
      <c r="AF111" s="5"/>
    </row>
    <row r="112" spans="1:32" x14ac:dyDescent="0.2">
      <c r="A112" s="5" t="s">
        <v>363</v>
      </c>
      <c r="B112" s="64" t="s">
        <v>1147</v>
      </c>
      <c r="C112" s="5"/>
      <c r="D112" s="5"/>
      <c r="E112" s="5"/>
      <c r="F112" s="5"/>
      <c r="G112" s="5"/>
      <c r="H112" s="5"/>
      <c r="I112" s="226"/>
      <c r="J112" s="5"/>
      <c r="K112" s="5"/>
      <c r="L112" s="5"/>
      <c r="M112" s="5"/>
      <c r="N112" s="5"/>
      <c r="O112" s="5"/>
      <c r="P112" s="5"/>
      <c r="Q112" s="5" t="s">
        <v>363</v>
      </c>
      <c r="R112" s="64" t="s">
        <v>1147</v>
      </c>
      <c r="S112" s="5"/>
      <c r="T112" s="5"/>
      <c r="U112" s="5"/>
      <c r="V112" s="5"/>
      <c r="W112" s="5"/>
      <c r="X112" s="5"/>
      <c r="Y112" s="226"/>
      <c r="Z112" s="5"/>
      <c r="AA112" s="5"/>
      <c r="AB112" s="5"/>
      <c r="AC112" s="5"/>
      <c r="AD112" s="5"/>
      <c r="AE112" s="5"/>
      <c r="AF112" s="5"/>
    </row>
    <row r="113" spans="1:32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x14ac:dyDescent="0.2">
      <c r="A115" s="5"/>
      <c r="B115" s="5"/>
      <c r="C115" s="5"/>
      <c r="D115" s="5"/>
      <c r="E115" s="5"/>
      <c r="F115" s="5"/>
      <c r="G115" s="5"/>
      <c r="H115" s="5"/>
      <c r="I115" s="1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4"/>
      <c r="Z115" s="5"/>
      <c r="AA115" s="5"/>
      <c r="AB115" s="5"/>
      <c r="AC115" s="5"/>
      <c r="AD115" s="5"/>
      <c r="AE115" s="5"/>
      <c r="AF115" s="5"/>
    </row>
    <row r="116" spans="1:32" x14ac:dyDescent="0.2">
      <c r="A116" s="5"/>
      <c r="B116" s="5"/>
      <c r="C116" s="5"/>
      <c r="D116" s="5"/>
      <c r="E116" s="5"/>
      <c r="F116" s="5"/>
      <c r="G116" s="5"/>
      <c r="H116" s="5"/>
      <c r="I116" s="1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4"/>
      <c r="Z116" s="5"/>
      <c r="AA116" s="5"/>
      <c r="AB116" s="5"/>
      <c r="AC116" s="5"/>
      <c r="AD116" s="5"/>
      <c r="AE116" s="5"/>
      <c r="AF116" s="5"/>
    </row>
    <row r="117" spans="1:32" ht="13.5" customHeight="1" thickBot="1" x14ac:dyDescent="0.25">
      <c r="A117" s="5"/>
      <c r="B117" s="5"/>
      <c r="C117" s="5"/>
      <c r="D117" s="5"/>
      <c r="E117" s="5"/>
      <c r="F117" s="5"/>
      <c r="G117" s="5"/>
      <c r="H117" s="5"/>
      <c r="I117" s="1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14"/>
      <c r="Z117" s="5"/>
      <c r="AA117" s="5"/>
      <c r="AB117" s="5"/>
      <c r="AC117" s="5"/>
      <c r="AD117" s="5"/>
      <c r="AE117" s="5"/>
      <c r="AF117" s="5"/>
    </row>
    <row r="118" spans="1:32" ht="17.25" customHeight="1" thickTop="1" thickBot="1" x14ac:dyDescent="0.3">
      <c r="A118" s="988"/>
      <c r="B118" s="823"/>
      <c r="C118" s="871"/>
      <c r="D118" s="934" t="str">
        <f>'Front Page'!$A$13</f>
        <v>Mechanical  Calculations</v>
      </c>
      <c r="E118" s="842"/>
      <c r="F118" s="842"/>
      <c r="G118" s="842"/>
      <c r="H118" s="859"/>
      <c r="I118" s="14"/>
      <c r="J118" s="5"/>
      <c r="K118" s="5"/>
      <c r="L118" s="5"/>
      <c r="M118" s="5"/>
      <c r="N118" s="5"/>
      <c r="O118" s="5"/>
      <c r="P118" s="5"/>
      <c r="Q118" s="988"/>
      <c r="R118" s="823"/>
      <c r="S118" s="871"/>
      <c r="T118" s="934" t="str">
        <f>'Front Page'!$A$13</f>
        <v>Mechanical  Calculations</v>
      </c>
      <c r="U118" s="842"/>
      <c r="V118" s="842"/>
      <c r="W118" s="842"/>
      <c r="X118" s="859"/>
      <c r="Y118" s="14"/>
      <c r="Z118" s="5"/>
      <c r="AA118" s="5"/>
      <c r="AB118" s="5"/>
      <c r="AC118" s="5"/>
      <c r="AD118" s="5"/>
      <c r="AE118" s="5"/>
      <c r="AF118" s="5"/>
    </row>
    <row r="119" spans="1:32" ht="16.5" customHeight="1" thickBot="1" x14ac:dyDescent="0.3">
      <c r="A119" s="825"/>
      <c r="B119" s="809"/>
      <c r="C119" s="989"/>
      <c r="D119" s="984"/>
      <c r="E119" s="831"/>
      <c r="F119" s="831"/>
      <c r="G119" s="831"/>
      <c r="H119" s="854"/>
      <c r="I119" s="5"/>
      <c r="J119" s="5"/>
      <c r="K119" s="5"/>
      <c r="L119" s="5"/>
      <c r="M119" s="5"/>
      <c r="N119" s="5"/>
      <c r="O119" s="5"/>
      <c r="P119" s="5"/>
      <c r="Q119" s="825"/>
      <c r="R119" s="809"/>
      <c r="S119" s="989"/>
      <c r="T119" s="984"/>
      <c r="U119" s="831"/>
      <c r="V119" s="831"/>
      <c r="W119" s="831"/>
      <c r="X119" s="854"/>
      <c r="Y119" s="5"/>
      <c r="Z119" s="5"/>
      <c r="AA119" s="5"/>
      <c r="AB119" s="5"/>
      <c r="AC119" s="5"/>
      <c r="AD119" s="5"/>
      <c r="AE119" s="5"/>
      <c r="AF119" s="5"/>
    </row>
    <row r="120" spans="1:32" ht="16.5" customHeight="1" thickBot="1" x14ac:dyDescent="0.3">
      <c r="A120" s="827"/>
      <c r="B120" s="828"/>
      <c r="C120" s="857"/>
      <c r="D120" s="985" t="s">
        <v>1042</v>
      </c>
      <c r="E120" s="834"/>
      <c r="F120" s="834"/>
      <c r="G120" s="834"/>
      <c r="H120" s="986"/>
      <c r="I120" s="5"/>
      <c r="J120" s="5"/>
      <c r="K120" s="5"/>
      <c r="L120" s="5"/>
      <c r="M120" s="5"/>
      <c r="N120" s="5"/>
      <c r="O120" s="5"/>
      <c r="P120" s="5"/>
      <c r="Q120" s="827"/>
      <c r="R120" s="828"/>
      <c r="S120" s="857"/>
      <c r="T120" s="985" t="s">
        <v>1042</v>
      </c>
      <c r="U120" s="834"/>
      <c r="V120" s="834"/>
      <c r="W120" s="834"/>
      <c r="X120" s="986"/>
      <c r="Y120" s="5"/>
      <c r="Z120" s="5"/>
      <c r="AA120" s="5"/>
      <c r="AB120" s="5"/>
      <c r="AC120" s="5"/>
      <c r="AD120" s="5"/>
      <c r="AE120" s="5"/>
      <c r="AF120" s="5"/>
    </row>
    <row r="121" spans="1:32" ht="16.5" customHeight="1" thickTop="1" thickBot="1" x14ac:dyDescent="0.3">
      <c r="A121" s="873"/>
      <c r="B121" s="848"/>
      <c r="C121" s="865"/>
      <c r="D121" s="385" t="str">
        <f>'Front Page'!$D$4</f>
        <v>Doc Nº</v>
      </c>
      <c r="E121" s="980"/>
      <c r="F121" s="843"/>
      <c r="G121" s="980"/>
      <c r="H121" s="843"/>
      <c r="I121" s="5"/>
      <c r="J121" s="5"/>
      <c r="K121" s="5"/>
      <c r="L121" s="5"/>
      <c r="M121" s="5"/>
      <c r="N121" s="5"/>
      <c r="O121" s="5"/>
      <c r="P121" s="5"/>
      <c r="Q121" s="873"/>
      <c r="R121" s="848"/>
      <c r="S121" s="865"/>
      <c r="T121" s="385" t="str">
        <f>'Front Page'!$D$4</f>
        <v>Doc Nº</v>
      </c>
      <c r="U121" s="980"/>
      <c r="V121" s="843"/>
      <c r="W121" s="980"/>
      <c r="X121" s="843"/>
      <c r="Y121" s="5"/>
      <c r="Z121" s="5"/>
      <c r="AA121" s="5"/>
      <c r="AB121" s="5"/>
      <c r="AC121" s="5"/>
      <c r="AD121" s="5"/>
      <c r="AE121" s="5"/>
      <c r="AF121" s="5"/>
    </row>
    <row r="122" spans="1:32" ht="15.75" customHeight="1" thickBot="1" x14ac:dyDescent="0.3">
      <c r="A122" s="860"/>
      <c r="B122" s="851"/>
      <c r="C122" s="861"/>
      <c r="D122" s="386" t="str">
        <f>'Front Page'!$D$5</f>
        <v>Project</v>
      </c>
      <c r="E122" s="899"/>
      <c r="F122" s="835"/>
      <c r="G122" s="131" t="s">
        <v>5</v>
      </c>
      <c r="H122" s="132"/>
      <c r="I122" s="5"/>
      <c r="J122" s="5"/>
      <c r="K122" s="5"/>
      <c r="L122" s="5"/>
      <c r="M122" s="5"/>
      <c r="N122" s="5"/>
      <c r="O122" s="5"/>
      <c r="P122" s="5"/>
      <c r="Q122" s="860"/>
      <c r="R122" s="851"/>
      <c r="S122" s="861"/>
      <c r="T122" s="386" t="str">
        <f>'Front Page'!$D$5</f>
        <v>Project</v>
      </c>
      <c r="U122" s="899"/>
      <c r="V122" s="835"/>
      <c r="W122" s="131" t="s">
        <v>5</v>
      </c>
      <c r="X122" s="132"/>
      <c r="Y122" s="5"/>
      <c r="Z122" s="5"/>
      <c r="AA122" s="5"/>
      <c r="AB122" s="5"/>
      <c r="AC122" s="5"/>
      <c r="AD122" s="5"/>
      <c r="AE122" s="5"/>
      <c r="AF122" s="5"/>
    </row>
    <row r="123" spans="1:32" ht="13.5" customHeight="1" thickTop="1" x14ac:dyDescent="0.2">
      <c r="A123" s="4"/>
      <c r="B123" s="4"/>
      <c r="C123" s="4"/>
      <c r="D123" s="4"/>
      <c r="E123" s="4"/>
      <c r="F123" s="4"/>
      <c r="G123" s="4"/>
      <c r="H123" s="4"/>
      <c r="I123" s="5"/>
      <c r="J123" s="5"/>
      <c r="K123" s="5"/>
      <c r="L123" s="5"/>
      <c r="M123" s="5"/>
      <c r="N123" s="5"/>
      <c r="O123" s="5"/>
      <c r="P123" s="5"/>
      <c r="Q123" s="118" t="s">
        <v>1148</v>
      </c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x14ac:dyDescent="0.2">
      <c r="A124" s="118" t="s">
        <v>1148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4"/>
      <c r="R125" s="14" t="s">
        <v>1149</v>
      </c>
      <c r="S125" s="14" t="s">
        <v>1150</v>
      </c>
      <c r="T125" s="14" t="s">
        <v>1151</v>
      </c>
      <c r="U125" s="14" t="s">
        <v>1152</v>
      </c>
      <c r="V125" s="14" t="s">
        <v>1153</v>
      </c>
      <c r="W125" s="14"/>
      <c r="X125" s="14" t="s">
        <v>1136</v>
      </c>
      <c r="Y125" s="5"/>
      <c r="Z125" s="5"/>
      <c r="AA125" s="5"/>
      <c r="AB125" s="5"/>
      <c r="AC125" s="5"/>
      <c r="AD125" s="5"/>
      <c r="AE125" s="5"/>
      <c r="AF125" s="5"/>
    </row>
    <row r="126" spans="1:32" x14ac:dyDescent="0.2">
      <c r="A126" s="14"/>
      <c r="B126" s="14" t="s">
        <v>1149</v>
      </c>
      <c r="C126" s="14" t="s">
        <v>1150</v>
      </c>
      <c r="D126" s="14" t="s">
        <v>1151</v>
      </c>
      <c r="E126" s="14" t="s">
        <v>1152</v>
      </c>
      <c r="F126" s="14" t="s">
        <v>1153</v>
      </c>
      <c r="G126" s="14"/>
      <c r="H126" s="14" t="s">
        <v>1136</v>
      </c>
      <c r="I126" s="5"/>
      <c r="J126" s="5"/>
      <c r="K126" s="5"/>
      <c r="L126" s="5"/>
      <c r="M126" s="5"/>
      <c r="N126" s="5"/>
      <c r="O126" s="5"/>
      <c r="P126" s="5"/>
      <c r="Q126" s="14"/>
      <c r="R126" s="170" t="s">
        <v>1154</v>
      </c>
      <c r="S126" s="170" t="s">
        <v>248</v>
      </c>
      <c r="T126" s="170" t="s">
        <v>248</v>
      </c>
      <c r="U126" s="170" t="s">
        <v>248</v>
      </c>
      <c r="V126" s="170" t="s">
        <v>1154</v>
      </c>
      <c r="W126" s="14"/>
      <c r="X126" s="14"/>
      <c r="Y126" s="5"/>
      <c r="Z126" s="5"/>
      <c r="AA126" s="5"/>
      <c r="AB126" s="5"/>
      <c r="AC126" s="5"/>
      <c r="AD126" s="5"/>
      <c r="AE126" s="5"/>
      <c r="AF126" s="5"/>
    </row>
    <row r="127" spans="1:32" x14ac:dyDescent="0.2">
      <c r="A127" s="14"/>
      <c r="B127" s="14" t="s">
        <v>1155</v>
      </c>
      <c r="C127" s="14" t="s">
        <v>247</v>
      </c>
      <c r="D127" s="14" t="s">
        <v>247</v>
      </c>
      <c r="E127" s="14" t="s">
        <v>247</v>
      </c>
      <c r="F127" s="14" t="s">
        <v>1155</v>
      </c>
      <c r="G127" s="14"/>
      <c r="H127" s="14"/>
      <c r="I127" s="5"/>
      <c r="J127" s="5"/>
      <c r="K127" s="5"/>
      <c r="L127" s="5"/>
      <c r="M127" s="5"/>
      <c r="N127" s="5"/>
      <c r="O127" s="5"/>
      <c r="P127" s="5"/>
      <c r="Q127" s="14">
        <v>1</v>
      </c>
      <c r="R127" s="14">
        <f t="shared" ref="R127:R132" si="27">B128/(25.4*25.4*25.4*25.4)</f>
        <v>18.487921470962601</v>
      </c>
      <c r="S127" s="260">
        <f t="shared" ref="S127:U132" si="28">C128/25.4</f>
        <v>22.419857477245891</v>
      </c>
      <c r="T127" s="260">
        <f t="shared" si="28"/>
        <v>3.6341611144760755</v>
      </c>
      <c r="U127" s="260">
        <f t="shared" si="28"/>
        <v>1.4370078740157481</v>
      </c>
      <c r="V127" s="14">
        <f t="shared" ref="V127:V132" si="29">F128/(25.4*25.4*25.4*25.4)</f>
        <v>10.423047692149078</v>
      </c>
      <c r="W127" s="264" t="str">
        <f t="shared" ref="W127:W132" si="30">IF(V127&gt;R127,"OK","ERROR")</f>
        <v>ERROR</v>
      </c>
      <c r="X127" s="417">
        <f t="shared" ref="X127:X132" si="31">V127/R127</f>
        <v>0.56377606906864408</v>
      </c>
      <c r="Y127" s="5"/>
      <c r="Z127" s="5"/>
      <c r="AA127" s="5"/>
      <c r="AB127" s="5"/>
      <c r="AC127" s="5"/>
      <c r="AD127" s="5"/>
      <c r="AE127" s="5"/>
      <c r="AF127" s="5"/>
    </row>
    <row r="128" spans="1:32" x14ac:dyDescent="0.2">
      <c r="A128" s="14">
        <v>1</v>
      </c>
      <c r="B128" s="14">
        <f t="shared" ref="B128:B133" si="32">($B$16*I71*(D90/2+D91/2)*$B$14^3)/(8*$B$15*($B$23-1))</f>
        <v>7695253.9102396108</v>
      </c>
      <c r="C128" s="260">
        <f t="shared" ref="C128:C133" si="33">1.1*B90*($B$14/B90)^0.5</f>
        <v>569.46437992204562</v>
      </c>
      <c r="D128" s="14">
        <f t="shared" ref="D128:D133" si="34">MIN(IF(C128*B90&gt;$B$38,$B$38/B90,C128),32*B90)</f>
        <v>92.307692307692307</v>
      </c>
      <c r="E128" s="260">
        <f t="shared" ref="E128:E133" si="35">($K$36*$K$35*($B$36+$K$36/2+B90)+$B$37*$B$36*($B$36+B90)/2+D128*B90^2/2)/($K$36*$K$35+$B$37*$B$36+D128*B90)</f>
        <v>36.5</v>
      </c>
      <c r="F128" s="14">
        <f t="shared" ref="F128:F133" si="36">$K$36*$K$35*($B$36+$B$37/2-E128)^2+$B$37*($B$36-E128)*(($B$36-E128)/2)^2+$B$37*E128*(E128/2)^2+B90*D128*(E128+B90/2)^2+$K$35*$K$36^3/12+$B$37*($B$36-E128)^3/12+$B$37*E128^3/12+D128*B90^3/12</f>
        <v>4338400</v>
      </c>
      <c r="G128" s="264" t="str">
        <f t="shared" ref="G128:G133" si="37">IF(F128&gt;B128,"OK","ERROR")</f>
        <v>ERROR</v>
      </c>
      <c r="H128" s="417">
        <f t="shared" ref="H128:H133" si="38">F128/B128</f>
        <v>0.56377606906864408</v>
      </c>
      <c r="I128" s="5"/>
      <c r="J128" s="64" t="s">
        <v>1061</v>
      </c>
      <c r="K128" s="5" t="e">
        <f>(445*($B$35/1000)^3/('Main Dimensions Calcs'!M18/1000)^2/5)^0.5</f>
        <v>#DIV/0!</v>
      </c>
      <c r="L128" s="5"/>
      <c r="M128" s="5"/>
      <c r="N128" s="5"/>
      <c r="O128" s="5"/>
      <c r="P128" s="5"/>
      <c r="Q128" s="14">
        <f>Q127+1</f>
        <v>2</v>
      </c>
      <c r="R128" s="14">
        <f t="shared" si="27"/>
        <v>8.1353283526852493</v>
      </c>
      <c r="S128" s="260">
        <f t="shared" si="28"/>
        <v>21.086771476540992</v>
      </c>
      <c r="T128" s="260">
        <f t="shared" si="28"/>
        <v>4.1081821294077372</v>
      </c>
      <c r="U128" s="260">
        <f t="shared" si="28"/>
        <v>1.4074803149606301</v>
      </c>
      <c r="V128" s="14">
        <f t="shared" si="29"/>
        <v>10.152044608137825</v>
      </c>
      <c r="W128" s="264" t="str">
        <f t="shared" si="30"/>
        <v>OK</v>
      </c>
      <c r="X128" s="417">
        <f t="shared" si="31"/>
        <v>1.2478961103993931</v>
      </c>
      <c r="Y128" s="5"/>
      <c r="Z128" s="64" t="s">
        <v>1061</v>
      </c>
      <c r="AA128" s="5" t="e">
        <f>(445*($B$35/1000)^3/('Main Dimensions Calcs'!AC18/1000)^2/5)^0.5</f>
        <v>#DIV/0!</v>
      </c>
      <c r="AB128" s="5"/>
      <c r="AC128" s="5"/>
      <c r="AD128" s="5"/>
      <c r="AE128" s="5"/>
      <c r="AF128" s="5"/>
    </row>
    <row r="129" spans="1:32" x14ac:dyDescent="0.2">
      <c r="A129" s="14">
        <f>A128+1</f>
        <v>2</v>
      </c>
      <c r="B129" s="14">
        <f t="shared" si="32"/>
        <v>3386179.3179622805</v>
      </c>
      <c r="C129" s="260">
        <f t="shared" si="33"/>
        <v>535.60399550414115</v>
      </c>
      <c r="D129" s="14">
        <f t="shared" si="34"/>
        <v>104.34782608695652</v>
      </c>
      <c r="E129" s="260">
        <f t="shared" si="35"/>
        <v>35.75</v>
      </c>
      <c r="F129" s="14">
        <f t="shared" si="36"/>
        <v>4225600</v>
      </c>
      <c r="G129" s="264" t="str">
        <f t="shared" si="37"/>
        <v>OK</v>
      </c>
      <c r="H129" s="417">
        <f t="shared" si="38"/>
        <v>1.2478961103993933</v>
      </c>
      <c r="I129" s="14" t="s">
        <v>940</v>
      </c>
      <c r="J129" s="14" t="s">
        <v>247</v>
      </c>
      <c r="K129" s="5" t="s">
        <v>1156</v>
      </c>
      <c r="L129" s="14" t="s">
        <v>334</v>
      </c>
      <c r="M129" s="5"/>
      <c r="N129" s="5"/>
      <c r="O129" s="5"/>
      <c r="P129" s="5"/>
      <c r="Q129" s="14">
        <f>Q128+1</f>
        <v>3</v>
      </c>
      <c r="R129" s="14">
        <f t="shared" si="27"/>
        <v>5.6105712777139649</v>
      </c>
      <c r="S129" s="260">
        <f t="shared" si="28"/>
        <v>20.149107820771917</v>
      </c>
      <c r="T129" s="260">
        <f t="shared" si="28"/>
        <v>4.4994375703037122</v>
      </c>
      <c r="U129" s="260">
        <f t="shared" si="28"/>
        <v>1.3877952755905512</v>
      </c>
      <c r="V129" s="14">
        <f t="shared" si="29"/>
        <v>9.9809859239037735</v>
      </c>
      <c r="W129" s="264" t="str">
        <f t="shared" si="30"/>
        <v>OK</v>
      </c>
      <c r="X129" s="417">
        <f t="shared" si="31"/>
        <v>1.7789607207290556</v>
      </c>
      <c r="Y129" s="14" t="s">
        <v>940</v>
      </c>
      <c r="Z129" s="14" t="s">
        <v>247</v>
      </c>
      <c r="AA129" s="5" t="s">
        <v>1156</v>
      </c>
      <c r="AB129" s="14" t="s">
        <v>334</v>
      </c>
      <c r="AC129" s="5"/>
      <c r="AD129" s="5"/>
      <c r="AE129" s="5"/>
      <c r="AF129" s="5"/>
    </row>
    <row r="130" spans="1:32" x14ac:dyDescent="0.2">
      <c r="A130" s="14">
        <f>A129+1</f>
        <v>3</v>
      </c>
      <c r="B130" s="14">
        <f t="shared" si="32"/>
        <v>2335296.081353297</v>
      </c>
      <c r="C130" s="260">
        <f t="shared" si="33"/>
        <v>511.7873386476067</v>
      </c>
      <c r="D130" s="14">
        <f t="shared" si="34"/>
        <v>114.28571428571429</v>
      </c>
      <c r="E130" s="260">
        <f t="shared" si="35"/>
        <v>35.25</v>
      </c>
      <c r="F130" s="14">
        <f t="shared" si="36"/>
        <v>4154400</v>
      </c>
      <c r="G130" s="264" t="str">
        <f t="shared" si="37"/>
        <v>OK</v>
      </c>
      <c r="H130" s="417">
        <f t="shared" si="38"/>
        <v>1.7789607207290554</v>
      </c>
      <c r="I130" s="14" t="s">
        <v>1157</v>
      </c>
      <c r="J130" s="5" t="s">
        <v>1158</v>
      </c>
      <c r="K130" s="5" t="s">
        <v>190</v>
      </c>
      <c r="L130" s="14" t="s">
        <v>1159</v>
      </c>
      <c r="M130" s="14" t="s">
        <v>1160</v>
      </c>
      <c r="N130" s="14" t="s">
        <v>1161</v>
      </c>
      <c r="O130" s="5"/>
      <c r="P130" s="5"/>
      <c r="Q130" s="14">
        <f>Q129+1</f>
        <v>4</v>
      </c>
      <c r="R130" s="14">
        <f t="shared" si="27"/>
        <v>3.7029770432912166</v>
      </c>
      <c r="S130" s="260">
        <f t="shared" si="28"/>
        <v>18.654449012954952</v>
      </c>
      <c r="T130" s="260">
        <f t="shared" si="28"/>
        <v>5.2493438320209984</v>
      </c>
      <c r="U130" s="260">
        <f t="shared" si="28"/>
        <v>1.3582677165354331</v>
      </c>
      <c r="V130" s="14">
        <f t="shared" si="29"/>
        <v>9.7388129552128664</v>
      </c>
      <c r="W130" s="264" t="str">
        <f t="shared" si="30"/>
        <v>OK</v>
      </c>
      <c r="X130" s="417">
        <f t="shared" si="31"/>
        <v>2.6299954985832108</v>
      </c>
      <c r="Y130" s="14" t="s">
        <v>1157</v>
      </c>
      <c r="Z130" s="5" t="s">
        <v>1158</v>
      </c>
      <c r="AA130" s="5" t="s">
        <v>190</v>
      </c>
      <c r="AB130" s="14" t="s">
        <v>1159</v>
      </c>
      <c r="AC130" s="14" t="s">
        <v>1160</v>
      </c>
      <c r="AD130" s="14" t="s">
        <v>1161</v>
      </c>
      <c r="AE130" s="5"/>
      <c r="AF130" s="5"/>
    </row>
    <row r="131" spans="1:32" x14ac:dyDescent="0.2">
      <c r="A131" s="14">
        <f>A130+1</f>
        <v>4</v>
      </c>
      <c r="B131" s="14">
        <f t="shared" si="32"/>
        <v>1541295.4136931759</v>
      </c>
      <c r="C131" s="260">
        <f t="shared" si="33"/>
        <v>473.8230049290558</v>
      </c>
      <c r="D131" s="14">
        <f t="shared" si="34"/>
        <v>133.33333333333334</v>
      </c>
      <c r="E131" s="260">
        <f t="shared" si="35"/>
        <v>34.5</v>
      </c>
      <c r="F131" s="14">
        <f t="shared" si="36"/>
        <v>4053600</v>
      </c>
      <c r="G131" s="264" t="str">
        <f t="shared" si="37"/>
        <v>OK</v>
      </c>
      <c r="H131" s="417">
        <f t="shared" si="38"/>
        <v>2.6299954985832108</v>
      </c>
      <c r="I131" s="5">
        <f>1000*B71*1000*(D90+D91)/2000</f>
        <v>42013.724999999999</v>
      </c>
      <c r="J131" s="5">
        <f>13.4*($B$35/1000*B90)^0.5</f>
        <v>220.64392962417978</v>
      </c>
      <c r="K131" s="5" t="e">
        <f>37.5*($B$35/1000)^3*I131/($B$15*($K$128-1))</f>
        <v>#DIV/0!</v>
      </c>
      <c r="L131" s="5">
        <f>2*I131*$B$35/(1000*2*103)</f>
        <v>8507.1674621359234</v>
      </c>
      <c r="M131" s="5">
        <f>MAX(L131-2*J131*B90,0.5*L131)</f>
        <v>4253.5837310679617</v>
      </c>
      <c r="N131" s="5" t="e">
        <f>K131*10000/(B128)</f>
        <v>#DIV/0!</v>
      </c>
      <c r="O131" s="5">
        <f>L131/B149</f>
        <v>3.8838038788745246</v>
      </c>
      <c r="P131" s="5"/>
      <c r="Q131" s="14">
        <f>Q130+1</f>
        <v>5</v>
      </c>
      <c r="R131" s="14">
        <f t="shared" si="27"/>
        <v>3.5907656177369374</v>
      </c>
      <c r="S131" s="260">
        <f t="shared" si="28"/>
        <v>17.587583195145527</v>
      </c>
      <c r="T131" s="260">
        <f t="shared" si="28"/>
        <v>5.9055118110236222</v>
      </c>
      <c r="U131" s="260">
        <f t="shared" si="28"/>
        <v>1.3385826771653544</v>
      </c>
      <c r="V131" s="14">
        <f t="shared" si="29"/>
        <v>9.5869743478590443</v>
      </c>
      <c r="W131" s="264" t="str">
        <f t="shared" si="30"/>
        <v>OK</v>
      </c>
      <c r="X131" s="417">
        <f t="shared" si="31"/>
        <v>2.6698969992647941</v>
      </c>
      <c r="Y131" s="5" t="e">
        <f>1000*#REF!*1000*(T90+T91)/2000</f>
        <v>#REF!</v>
      </c>
      <c r="Z131" s="5">
        <f>13.4*($B$35/1000*R90)^0.5</f>
        <v>43.77993629560514</v>
      </c>
      <c r="AA131" s="5" t="e">
        <f>37.5*($B$35/1000)^3*Y131/($B$15*($K$128-1))</f>
        <v>#REF!</v>
      </c>
      <c r="AB131" s="5" t="e">
        <f>2*Y131*$B$35/(1000*2*103)</f>
        <v>#REF!</v>
      </c>
      <c r="AC131" s="5" t="e">
        <f>MAX(AB131-2*Z131*R90,0.5*AB131)</f>
        <v>#REF!</v>
      </c>
      <c r="AD131" s="5" t="e">
        <f>AA131*10000/(R127)</f>
        <v>#REF!</v>
      </c>
      <c r="AE131" s="5" t="e">
        <f>AB131/R145</f>
        <v>#REF!</v>
      </c>
      <c r="AF131" s="5"/>
    </row>
    <row r="132" spans="1:32" ht="14.25" customHeight="1" x14ac:dyDescent="0.2">
      <c r="A132" s="14">
        <f>A131+1</f>
        <v>5</v>
      </c>
      <c r="B132" s="14">
        <f t="shared" si="32"/>
        <v>1494589.49206611</v>
      </c>
      <c r="C132" s="260">
        <f t="shared" si="33"/>
        <v>446.72461315669636</v>
      </c>
      <c r="D132" s="14">
        <f t="shared" si="34"/>
        <v>150</v>
      </c>
      <c r="E132" s="260">
        <f t="shared" si="35"/>
        <v>34</v>
      </c>
      <c r="F132" s="14">
        <f t="shared" si="36"/>
        <v>3990400</v>
      </c>
      <c r="G132" s="264" t="str">
        <f t="shared" si="37"/>
        <v>OK</v>
      </c>
      <c r="H132" s="417">
        <f t="shared" si="38"/>
        <v>2.6698969992647941</v>
      </c>
      <c r="I132" s="5">
        <f>1000*B72*1000*(D91+D92)/2000</f>
        <v>18487.500000000004</v>
      </c>
      <c r="J132" s="5">
        <f>13.4*($B$35/1000*B91)^0.5</f>
        <v>207.52442901981445</v>
      </c>
      <c r="K132" s="5" t="e">
        <f>37.5*($B$35/1000)^3*I132/($B$15*($K$128-1))</f>
        <v>#DIV/0!</v>
      </c>
      <c r="L132" s="5">
        <f>2*I132*$B$35/(1000*2*103)</f>
        <v>3743.4495145631072</v>
      </c>
      <c r="M132" s="5">
        <f>MAX(L132-2*J132*B91,0.5*L132)</f>
        <v>1871.7247572815536</v>
      </c>
      <c r="N132" s="5" t="e">
        <f>K132*10000/(B129)</f>
        <v>#DIV/0!</v>
      </c>
      <c r="O132" s="5">
        <f>L132/B150</f>
        <v>2.7965656946715787</v>
      </c>
      <c r="P132" s="5"/>
      <c r="Q132" s="14">
        <f>Q131+1</f>
        <v>6</v>
      </c>
      <c r="R132" s="14">
        <f t="shared" si="27"/>
        <v>3.4785541921826586</v>
      </c>
      <c r="S132" s="260">
        <f t="shared" si="28"/>
        <v>17.587583195145527</v>
      </c>
      <c r="T132" s="260">
        <f t="shared" si="28"/>
        <v>5.9055118110236222</v>
      </c>
      <c r="U132" s="260">
        <f t="shared" si="28"/>
        <v>1.3385826771653544</v>
      </c>
      <c r="V132" s="14">
        <f t="shared" si="29"/>
        <v>9.5869743478590443</v>
      </c>
      <c r="W132" s="264" t="str">
        <f t="shared" si="30"/>
        <v>OK</v>
      </c>
      <c r="X132" s="417">
        <f t="shared" si="31"/>
        <v>2.756022708918497</v>
      </c>
      <c r="Y132" s="5" t="e">
        <f>1000*#REF!*1000*(T91+T92)/2000</f>
        <v>#REF!</v>
      </c>
      <c r="Z132" s="5">
        <f>13.4*($B$35/1000*R91)^0.5</f>
        <v>41.17677879352663</v>
      </c>
      <c r="AA132" s="5" t="e">
        <f>37.5*($B$35/1000)^3*Y132/($B$15*($K$128-1))</f>
        <v>#REF!</v>
      </c>
      <c r="AB132" s="5" t="e">
        <f>2*Y132*$B$35/(1000*2*103)</f>
        <v>#REF!</v>
      </c>
      <c r="AC132" s="5" t="e">
        <f>MAX(AB132-2*Z132*R91,0.5*AB132)</f>
        <v>#REF!</v>
      </c>
      <c r="AD132" s="5" t="e">
        <f>AA132*10000/(R128)</f>
        <v>#REF!</v>
      </c>
      <c r="AE132" s="5" t="e">
        <f>AB132/R146</f>
        <v>#REF!</v>
      </c>
      <c r="AF132" s="5"/>
    </row>
    <row r="133" spans="1:32" ht="13.5" customHeight="1" x14ac:dyDescent="0.2">
      <c r="A133" s="14">
        <f>A132+1</f>
        <v>6</v>
      </c>
      <c r="B133" s="14">
        <f t="shared" si="32"/>
        <v>1447883.5704390442</v>
      </c>
      <c r="C133" s="260">
        <f t="shared" si="33"/>
        <v>446.72461315669636</v>
      </c>
      <c r="D133" s="14">
        <f t="shared" si="34"/>
        <v>150</v>
      </c>
      <c r="E133" s="260">
        <f t="shared" si="35"/>
        <v>34</v>
      </c>
      <c r="F133" s="14">
        <f t="shared" si="36"/>
        <v>3990400</v>
      </c>
      <c r="G133" s="264" t="str">
        <f t="shared" si="37"/>
        <v>OK</v>
      </c>
      <c r="H133" s="417">
        <f t="shared" si="38"/>
        <v>2.756022708918497</v>
      </c>
      <c r="I133" s="5">
        <f>1000*B73*1000*(D92+D93)/2000</f>
        <v>12750.000000000002</v>
      </c>
      <c r="J133" s="5">
        <f>13.4*($B$35/1000*B92)^0.5</f>
        <v>198.29645806216513</v>
      </c>
      <c r="K133" s="5" t="e">
        <f>37.5*($B$35/1000)^3*I133/($B$15*($K$128-1))</f>
        <v>#DIV/0!</v>
      </c>
      <c r="L133" s="5">
        <f>2*I133*$B$35/(1000*2*103)</f>
        <v>2581.6893203883496</v>
      </c>
      <c r="M133" s="5">
        <f>MAX(L133-2*J133*B92,0.5*L133)</f>
        <v>1290.8446601941748</v>
      </c>
      <c r="N133" s="5" t="e">
        <f>K133*10000/(B130)</f>
        <v>#DIV/0!</v>
      </c>
      <c r="O133" s="5">
        <f>L133/B151</f>
        <v>2.3085547531771651</v>
      </c>
      <c r="P133" s="5"/>
      <c r="Q133" s="5"/>
      <c r="R133" s="5"/>
      <c r="S133" s="5"/>
      <c r="T133" s="5"/>
      <c r="U133" s="5"/>
      <c r="V133" s="5"/>
      <c r="W133" s="5"/>
      <c r="X133" s="5"/>
      <c r="Y133" s="5" t="e">
        <f>1000*#REF!*1000*(T92+T93)/2000</f>
        <v>#REF!</v>
      </c>
      <c r="Z133" s="5">
        <f>13.4*($B$35/1000*R92)^0.5</f>
        <v>39.345774508243494</v>
      </c>
      <c r="AA133" s="5" t="e">
        <f>37.5*($B$35/1000)^3*Y133/($B$15*($K$128-1))</f>
        <v>#REF!</v>
      </c>
      <c r="AB133" s="5" t="e">
        <f>2*Y133*$B$35/(1000*2*103)</f>
        <v>#REF!</v>
      </c>
      <c r="AC133" s="5" t="e">
        <f>MAX(AB133-2*Z133*R92,0.5*AB133)</f>
        <v>#REF!</v>
      </c>
      <c r="AD133" s="5" t="e">
        <f>AA133*10000/(R129)</f>
        <v>#REF!</v>
      </c>
      <c r="AE133" s="5" t="e">
        <f>AB133/R147</f>
        <v>#REF!</v>
      </c>
      <c r="AF133" s="5"/>
    </row>
    <row r="134" spans="1:32" ht="15" customHeight="1" x14ac:dyDescent="0.2">
      <c r="A134" s="14"/>
      <c r="B134" s="14"/>
      <c r="C134" s="260"/>
      <c r="D134" s="417"/>
      <c r="E134" s="260"/>
      <c r="F134" s="14"/>
      <c r="G134" s="264"/>
      <c r="H134" s="417"/>
      <c r="I134" s="5">
        <f>1000*B77*1000*(D96+D97)/2000</f>
        <v>8415.0000000000018</v>
      </c>
      <c r="J134" s="5">
        <f>13.4*($B$35/1000*B96)^0.5</f>
        <v>173.08733887838244</v>
      </c>
      <c r="K134" s="5" t="e">
        <f>37.5*($B$35/1000)^3*I134/($B$15*($K$128-1))</f>
        <v>#DIV/0!</v>
      </c>
      <c r="L134" s="5">
        <f>2*I134*$B$35/(1000*2*103)</f>
        <v>1703.914951456311</v>
      </c>
      <c r="M134" s="5">
        <f>MAX(L134-2*J134*B96,0.5*L134)</f>
        <v>851.95747572815549</v>
      </c>
      <c r="N134" s="5" t="e">
        <f>K134*10000/(#REF!)</f>
        <v>#DIV/0!</v>
      </c>
      <c r="O134" s="5">
        <f>L134/B155</f>
        <v>3.3520215016132444</v>
      </c>
      <c r="P134" s="5"/>
      <c r="Q134" s="5" t="s">
        <v>1162</v>
      </c>
      <c r="R134" s="993" t="s">
        <v>1163</v>
      </c>
      <c r="S134" s="809"/>
      <c r="T134" s="809"/>
      <c r="U134" s="809"/>
      <c r="V134" s="809"/>
      <c r="W134" s="809"/>
      <c r="X134" s="809"/>
      <c r="Y134" s="5"/>
      <c r="Z134" s="5"/>
      <c r="AA134" s="5"/>
      <c r="AB134" s="5"/>
      <c r="AC134" s="5"/>
      <c r="AD134" s="5"/>
      <c r="AE134" s="5"/>
      <c r="AF134" s="5"/>
    </row>
    <row r="135" spans="1:32" ht="13.35" customHeight="1" x14ac:dyDescent="0.2">
      <c r="A135" s="5" t="s">
        <v>1162</v>
      </c>
      <c r="B135" s="901" t="s">
        <v>1163</v>
      </c>
      <c r="C135" s="809"/>
      <c r="D135" s="809"/>
      <c r="E135" s="809"/>
      <c r="F135" s="809"/>
      <c r="G135" s="809"/>
      <c r="H135" s="809"/>
      <c r="I135" s="5"/>
      <c r="J135" s="5"/>
      <c r="K135" s="5"/>
      <c r="L135" s="5"/>
      <c r="M135" s="5"/>
      <c r="N135" s="5"/>
      <c r="O135" s="5"/>
      <c r="P135" s="5"/>
      <c r="Q135" s="5" t="s">
        <v>1149</v>
      </c>
      <c r="R135" s="462" t="s">
        <v>1164</v>
      </c>
      <c r="S135" s="463"/>
      <c r="T135" s="5"/>
      <c r="U135" s="5"/>
      <c r="V135" s="5"/>
      <c r="W135" s="5"/>
      <c r="X135" s="5"/>
      <c r="Y135" s="5" t="e">
        <f>1000*#REF!*1000*(T96+T97)/2000</f>
        <v>#REF!</v>
      </c>
      <c r="Z135" s="5">
        <f>13.4*($B$35/1000*R96)^0.5</f>
        <v>34.343807611559946</v>
      </c>
      <c r="AA135" s="5" t="e">
        <f>37.5*($B$35/1000)^3*Y135/($B$15*($K$128-1))</f>
        <v>#REF!</v>
      </c>
      <c r="AB135" s="5" t="e">
        <f>2*Y135*$B$35/(1000*2*103)</f>
        <v>#REF!</v>
      </c>
      <c r="AC135" s="5" t="e">
        <f>MAX(AB135-2*Z135*R96,0.5*AB135)</f>
        <v>#REF!</v>
      </c>
      <c r="AD135" s="5" t="e">
        <f>AA135*10000/(#REF!)</f>
        <v>#REF!</v>
      </c>
      <c r="AE135" s="5" t="e">
        <f>AB135/R151</f>
        <v>#REF!</v>
      </c>
      <c r="AF135" s="5"/>
    </row>
    <row r="136" spans="1:32" x14ac:dyDescent="0.2">
      <c r="A136" s="5" t="s">
        <v>1149</v>
      </c>
      <c r="B136" s="64" t="s">
        <v>1164</v>
      </c>
      <c r="C136" s="263"/>
      <c r="D136" s="5"/>
      <c r="E136" s="263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 t="s">
        <v>1150</v>
      </c>
      <c r="R136" s="993" t="s">
        <v>1165</v>
      </c>
      <c r="S136" s="809"/>
      <c r="T136" s="809"/>
      <c r="U136" s="809"/>
      <c r="V136" s="809"/>
      <c r="W136" s="809"/>
      <c r="X136" s="809"/>
      <c r="Y136" s="5"/>
      <c r="Z136" s="5"/>
      <c r="AA136" s="5"/>
      <c r="AB136" s="5"/>
      <c r="AC136" s="5"/>
      <c r="AD136" s="5"/>
      <c r="AE136" s="5"/>
      <c r="AF136" s="5"/>
    </row>
    <row r="137" spans="1:32" ht="12.6" customHeight="1" x14ac:dyDescent="0.2">
      <c r="A137" s="5" t="s">
        <v>1150</v>
      </c>
      <c r="B137" s="901" t="s">
        <v>1165</v>
      </c>
      <c r="C137" s="809"/>
      <c r="D137" s="809"/>
      <c r="E137" s="809"/>
      <c r="F137" s="809"/>
      <c r="G137" s="809"/>
      <c r="H137" s="809"/>
      <c r="I137" s="5"/>
      <c r="J137" s="5"/>
      <c r="K137" s="5" t="e">
        <f>F128/K131/10000</f>
        <v>#DIV/0!</v>
      </c>
      <c r="L137" s="5"/>
      <c r="M137" s="5">
        <f>D149/M131</f>
        <v>0.28211505306343454</v>
      </c>
      <c r="N137" s="5"/>
      <c r="O137" s="5"/>
      <c r="P137" s="5"/>
      <c r="Q137" s="5" t="s">
        <v>1151</v>
      </c>
      <c r="R137" s="992" t="s">
        <v>1166</v>
      </c>
      <c r="S137" s="809"/>
      <c r="T137" s="809"/>
      <c r="U137" s="809"/>
      <c r="V137" s="809"/>
      <c r="W137" s="809"/>
      <c r="X137" s="809"/>
      <c r="Y137" s="5"/>
      <c r="Z137" s="5"/>
      <c r="AA137" s="5" t="e">
        <f>V127/AA131/10000</f>
        <v>#REF!</v>
      </c>
      <c r="AB137" s="5"/>
      <c r="AC137" s="5" t="e">
        <f>T145/AC131</f>
        <v>#REF!</v>
      </c>
      <c r="AD137" s="5"/>
      <c r="AE137" s="5"/>
      <c r="AF137" s="5"/>
    </row>
    <row r="138" spans="1:32" x14ac:dyDescent="0.2">
      <c r="A138" s="5"/>
      <c r="B138" s="809"/>
      <c r="C138" s="809"/>
      <c r="D138" s="809"/>
      <c r="E138" s="809"/>
      <c r="F138" s="809"/>
      <c r="G138" s="809"/>
      <c r="H138" s="809"/>
      <c r="I138" s="5"/>
      <c r="J138" s="5"/>
      <c r="K138" s="5" t="e">
        <f>F129/K132/10000</f>
        <v>#DIV/0!</v>
      </c>
      <c r="L138" s="5"/>
      <c r="M138" s="5">
        <f>D150/M132</f>
        <v>0.64111990576159827</v>
      </c>
      <c r="N138" s="5"/>
      <c r="O138" s="5"/>
      <c r="P138" s="5"/>
      <c r="Q138" s="5" t="s">
        <v>1152</v>
      </c>
      <c r="R138" s="462" t="s">
        <v>1167</v>
      </c>
      <c r="S138" s="462"/>
      <c r="T138" s="462"/>
      <c r="U138" s="462"/>
      <c r="V138" s="461"/>
      <c r="W138" s="461"/>
      <c r="X138" s="461"/>
      <c r="Y138" s="5"/>
      <c r="Z138" s="5"/>
      <c r="AA138" s="5" t="e">
        <f>V128/AA132/10000</f>
        <v>#REF!</v>
      </c>
      <c r="AB138" s="5"/>
      <c r="AC138" s="5" t="e">
        <f>T146/AC132</f>
        <v>#REF!</v>
      </c>
      <c r="AD138" s="5"/>
      <c r="AE138" s="5"/>
      <c r="AF138" s="5"/>
    </row>
    <row r="139" spans="1:32" ht="12.6" customHeight="1" x14ac:dyDescent="0.2">
      <c r="A139" s="5" t="s">
        <v>1151</v>
      </c>
      <c r="B139" s="900" t="s">
        <v>1166</v>
      </c>
      <c r="C139" s="809"/>
      <c r="D139" s="809"/>
      <c r="E139" s="809"/>
      <c r="F139" s="809"/>
      <c r="G139" s="809"/>
      <c r="H139" s="809"/>
      <c r="I139" s="5"/>
      <c r="J139" s="5"/>
      <c r="K139" s="5" t="e">
        <f>F130/K133/10000</f>
        <v>#DIV/0!</v>
      </c>
      <c r="L139" s="5"/>
      <c r="M139" s="5">
        <f>D151/M133</f>
        <v>0.92962386335431757</v>
      </c>
      <c r="N139" s="5"/>
      <c r="O139" s="5"/>
      <c r="P139" s="5"/>
      <c r="Q139" s="5" t="s">
        <v>1153</v>
      </c>
      <c r="R139" s="462" t="s">
        <v>1168</v>
      </c>
      <c r="S139" s="462"/>
      <c r="T139" s="462"/>
      <c r="U139" s="462"/>
      <c r="V139" s="464"/>
      <c r="W139" s="464"/>
      <c r="X139" s="464"/>
      <c r="Y139" s="5"/>
      <c r="Z139" s="5"/>
      <c r="AA139" s="5" t="e">
        <f>V129/AA133/10000</f>
        <v>#REF!</v>
      </c>
      <c r="AB139" s="5"/>
      <c r="AC139" s="5" t="e">
        <f>T147/AC133</f>
        <v>#REF!</v>
      </c>
      <c r="AD139" s="5"/>
      <c r="AE139" s="5"/>
      <c r="AF139" s="5"/>
    </row>
    <row r="140" spans="1:32" x14ac:dyDescent="0.2">
      <c r="A140" s="5"/>
      <c r="B140" s="809"/>
      <c r="C140" s="809"/>
      <c r="D140" s="809"/>
      <c r="E140" s="809"/>
      <c r="F140" s="809"/>
      <c r="G140" s="809"/>
      <c r="H140" s="809"/>
      <c r="I140" s="5"/>
      <c r="J140" s="5"/>
      <c r="K140" s="5" t="e">
        <f>F131/#REF!/10000</f>
        <v>#REF!</v>
      </c>
      <c r="L140" s="5"/>
      <c r="M140" s="5" t="e">
        <f>D152/#REF!</f>
        <v>#REF!</v>
      </c>
      <c r="N140" s="5"/>
      <c r="O140" s="5"/>
      <c r="P140" s="5"/>
      <c r="Q140" s="5"/>
      <c r="R140" s="464"/>
      <c r="S140" s="464"/>
      <c r="T140" s="464"/>
      <c r="U140" s="464"/>
      <c r="V140" s="464"/>
      <c r="W140" s="464"/>
      <c r="X140" s="464"/>
      <c r="Y140" s="5"/>
      <c r="Z140" s="5"/>
      <c r="AA140" s="5" t="e">
        <f>V130/#REF!/10000</f>
        <v>#REF!</v>
      </c>
      <c r="AB140" s="5"/>
      <c r="AC140" s="5" t="e">
        <f>T148/#REF!</f>
        <v>#REF!</v>
      </c>
      <c r="AD140" s="5"/>
      <c r="AE140" s="5"/>
      <c r="AF140" s="5"/>
    </row>
    <row r="141" spans="1:32" x14ac:dyDescent="0.2">
      <c r="A141" s="5"/>
      <c r="B141" s="809"/>
      <c r="C141" s="809"/>
      <c r="D141" s="809"/>
      <c r="E141" s="809"/>
      <c r="F141" s="809"/>
      <c r="G141" s="809"/>
      <c r="H141" s="809"/>
      <c r="I141" s="5"/>
      <c r="J141" s="5"/>
      <c r="K141" s="5" t="e">
        <f>F132/#REF!/10000</f>
        <v>#REF!</v>
      </c>
      <c r="L141" s="5"/>
      <c r="M141" s="5" t="e">
        <f>D153/#REF!</f>
        <v>#REF!</v>
      </c>
      <c r="N141" s="5"/>
      <c r="O141" s="5"/>
      <c r="P141" s="5"/>
      <c r="Q141" s="121" t="s">
        <v>1169</v>
      </c>
      <c r="R141" s="5"/>
      <c r="S141" s="5"/>
      <c r="T141" s="5"/>
      <c r="U141" s="5"/>
      <c r="V141" s="5"/>
      <c r="W141" s="5"/>
      <c r="X141" s="464"/>
      <c r="Y141" s="5"/>
      <c r="Z141" s="5"/>
      <c r="AA141" s="5" t="e">
        <f>V131/#REF!/10000</f>
        <v>#REF!</v>
      </c>
      <c r="AB141" s="5"/>
      <c r="AC141" s="5" t="e">
        <f>T149/#REF!</f>
        <v>#REF!</v>
      </c>
      <c r="AD141" s="5"/>
      <c r="AE141" s="5"/>
      <c r="AF141" s="5"/>
    </row>
    <row r="142" spans="1:32" x14ac:dyDescent="0.2">
      <c r="A142" s="5" t="s">
        <v>1152</v>
      </c>
      <c r="B142" s="64" t="s">
        <v>1167</v>
      </c>
      <c r="C142" s="5"/>
      <c r="D142" s="5"/>
      <c r="E142" s="5"/>
      <c r="F142" s="5"/>
      <c r="G142" s="5"/>
      <c r="H142" s="218"/>
      <c r="I142" s="5"/>
      <c r="J142" s="5"/>
      <c r="K142" s="5" t="e">
        <f>F133/#REF!/10000</f>
        <v>#REF!</v>
      </c>
      <c r="L142" s="5"/>
      <c r="M142" s="5" t="e">
        <f>D154/#REF!</f>
        <v>#REF!</v>
      </c>
      <c r="N142" s="5"/>
      <c r="O142" s="5"/>
      <c r="P142" s="5"/>
      <c r="Q142" s="5"/>
      <c r="R142" s="14"/>
      <c r="S142" s="14"/>
      <c r="T142" s="14"/>
      <c r="U142" s="14"/>
      <c r="V142" s="14"/>
      <c r="W142" s="5"/>
      <c r="X142" s="465"/>
      <c r="Y142" s="5"/>
      <c r="Z142" s="5"/>
      <c r="AA142" s="5" t="e">
        <f>V132/#REF!/10000</f>
        <v>#REF!</v>
      </c>
      <c r="AB142" s="5"/>
      <c r="AC142" s="5" t="e">
        <f>T150/#REF!</f>
        <v>#REF!</v>
      </c>
      <c r="AD142" s="5"/>
      <c r="AE142" s="5"/>
      <c r="AF142" s="5"/>
    </row>
    <row r="143" spans="1:32" x14ac:dyDescent="0.2">
      <c r="A143" s="5" t="s">
        <v>1153</v>
      </c>
      <c r="B143" s="64" t="s">
        <v>1168</v>
      </c>
      <c r="C143" s="5"/>
      <c r="D143" s="5"/>
      <c r="E143" s="5"/>
      <c r="F143" s="5"/>
      <c r="G143" s="5"/>
      <c r="H143" s="5"/>
      <c r="I143" s="5"/>
      <c r="J143" s="5"/>
      <c r="K143" s="5" t="e">
        <f>#REF!/K134/10000</f>
        <v>#REF!</v>
      </c>
      <c r="L143" s="5"/>
      <c r="M143" s="5">
        <f>D155/M134</f>
        <v>1.4085210050822992</v>
      </c>
      <c r="N143" s="5"/>
      <c r="O143" s="5"/>
      <c r="P143" s="5"/>
      <c r="Q143" s="14"/>
      <c r="R143" s="14" t="s">
        <v>1170</v>
      </c>
      <c r="S143" s="14" t="s">
        <v>1171</v>
      </c>
      <c r="T143" s="14" t="s">
        <v>1172</v>
      </c>
      <c r="U143" s="218" t="s">
        <v>1173</v>
      </c>
      <c r="V143" s="14"/>
      <c r="W143" s="5"/>
      <c r="X143" s="462"/>
      <c r="Y143" s="5"/>
      <c r="Z143" s="5"/>
      <c r="AA143" s="5" t="e">
        <f>#REF!/AA135/10000</f>
        <v>#REF!</v>
      </c>
      <c r="AB143" s="5"/>
      <c r="AC143" s="5" t="e">
        <f>T151/AC135</f>
        <v>#REF!</v>
      </c>
      <c r="AD143" s="5"/>
      <c r="AE143" s="5"/>
      <c r="AF143" s="5"/>
    </row>
    <row r="144" spans="1:32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 t="e">
        <f>#REF!/#REF!/10000</f>
        <v>#REF!</v>
      </c>
      <c r="L144" s="5"/>
      <c r="M144" s="5" t="e">
        <f>D157/#REF!</f>
        <v>#REF!</v>
      </c>
      <c r="N144" s="5"/>
      <c r="O144" s="5"/>
      <c r="P144" s="5"/>
      <c r="Q144" s="14"/>
      <c r="R144" s="170" t="s">
        <v>1174</v>
      </c>
      <c r="S144" s="170" t="s">
        <v>1174</v>
      </c>
      <c r="T144" s="170" t="s">
        <v>1174</v>
      </c>
      <c r="U144" s="111" t="s">
        <v>1174</v>
      </c>
      <c r="V144" s="14"/>
      <c r="W144" s="5"/>
      <c r="X144" s="5"/>
      <c r="Y144" s="5"/>
      <c r="Z144" s="5"/>
      <c r="AA144" s="5" t="e">
        <f>#REF!/#REF!/10000</f>
        <v>#REF!</v>
      </c>
      <c r="AB144" s="5"/>
      <c r="AC144" s="5" t="e">
        <f>#REF!/#REF!</f>
        <v>#REF!</v>
      </c>
      <c r="AD144" s="5"/>
      <c r="AE144" s="5"/>
      <c r="AF144" s="5"/>
    </row>
    <row r="145" spans="1:32" ht="1.5" customHeight="1" x14ac:dyDescent="0.2">
      <c r="A145" s="121" t="s">
        <v>1169</v>
      </c>
      <c r="B145" s="5"/>
      <c r="C145" s="5"/>
      <c r="D145" s="5"/>
      <c r="E145" s="5"/>
      <c r="F145" s="5"/>
      <c r="G145" s="5"/>
      <c r="H145" s="5"/>
      <c r="I145" s="5"/>
      <c r="J145" s="5"/>
      <c r="K145" s="5" t="e">
        <f>#REF!/K136/10000</f>
        <v>#REF!</v>
      </c>
      <c r="L145" s="5"/>
      <c r="M145" s="5" t="e">
        <f>#REF!/M136</f>
        <v>#REF!</v>
      </c>
      <c r="N145" s="5"/>
      <c r="O145" s="5"/>
      <c r="P145" s="5"/>
      <c r="Q145" s="14">
        <v>1</v>
      </c>
      <c r="R145" s="417">
        <f t="shared" ref="R145:U151" si="39">B149/(25.4*25.4)</f>
        <v>3.3951600929972106</v>
      </c>
      <c r="S145" s="417">
        <f t="shared" si="39"/>
        <v>5.7534640375705255</v>
      </c>
      <c r="T145" s="417">
        <f t="shared" si="39"/>
        <v>1.8600037200074402</v>
      </c>
      <c r="U145" s="417">
        <f t="shared" si="39"/>
        <v>3.7200074400148804</v>
      </c>
      <c r="V145" s="264" t="str">
        <f t="shared" ref="V145:V151" si="40">IF(U145&gt;R145,"OK","ERROR")</f>
        <v>OK</v>
      </c>
      <c r="W145" s="265">
        <f t="shared" ref="W145:W151" si="41">U145/R145</f>
        <v>1.0956795373766597</v>
      </c>
      <c r="X145" s="5"/>
      <c r="Y145" s="5"/>
      <c r="Z145" s="5"/>
      <c r="AA145" s="5" t="e">
        <f>#REF!/AA136/10000</f>
        <v>#REF!</v>
      </c>
      <c r="AB145" s="5"/>
      <c r="AC145" s="5" t="e">
        <f>T153/AC136</f>
        <v>#DIV/0!</v>
      </c>
      <c r="AD145" s="5"/>
      <c r="AE145" s="5"/>
      <c r="AF145" s="5"/>
    </row>
    <row r="146" spans="1:32" ht="14.25" customHeight="1" x14ac:dyDescent="0.2">
      <c r="A146" s="5"/>
      <c r="B146" s="14"/>
      <c r="C146" s="14"/>
      <c r="D146" s="14"/>
      <c r="E146" s="14"/>
      <c r="F146" s="1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4">
        <f t="shared" ref="Q146:Q151" si="42">Q145+1</f>
        <v>2</v>
      </c>
      <c r="R146" s="417">
        <f t="shared" si="39"/>
        <v>2.0748156795833594</v>
      </c>
      <c r="S146" s="417">
        <f t="shared" si="39"/>
        <v>4.7869747303653192</v>
      </c>
      <c r="T146" s="417">
        <f t="shared" si="39"/>
        <v>1.8600037200074402</v>
      </c>
      <c r="U146" s="417">
        <f t="shared" si="39"/>
        <v>3.7200074400148804</v>
      </c>
      <c r="V146" s="264" t="str">
        <f t="shared" si="40"/>
        <v>OK</v>
      </c>
      <c r="W146" s="265">
        <f t="shared" si="41"/>
        <v>1.792933934623961</v>
      </c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 ht="19.5" customHeight="1" x14ac:dyDescent="0.2">
      <c r="A147" s="14"/>
      <c r="B147" s="14" t="s">
        <v>1170</v>
      </c>
      <c r="C147" s="14" t="s">
        <v>1171</v>
      </c>
      <c r="D147" s="14" t="s">
        <v>1172</v>
      </c>
      <c r="E147" s="218" t="s">
        <v>1173</v>
      </c>
      <c r="F147" s="1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14">
        <f t="shared" si="42"/>
        <v>3</v>
      </c>
      <c r="R147" s="417">
        <f t="shared" si="39"/>
        <v>1.7333903145886294</v>
      </c>
      <c r="S147" s="417">
        <f t="shared" si="39"/>
        <v>4.1763638026717915</v>
      </c>
      <c r="T147" s="417">
        <f t="shared" si="39"/>
        <v>1.8600037200074402</v>
      </c>
      <c r="U147" s="417">
        <f t="shared" si="39"/>
        <v>3.7200074400148804</v>
      </c>
      <c r="V147" s="264" t="str">
        <f t="shared" si="40"/>
        <v>OK</v>
      </c>
      <c r="W147" s="265">
        <f t="shared" si="41"/>
        <v>2.1460875884135291</v>
      </c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 x14ac:dyDescent="0.2">
      <c r="A148" s="14"/>
      <c r="B148" s="14" t="s">
        <v>334</v>
      </c>
      <c r="C148" s="14" t="s">
        <v>334</v>
      </c>
      <c r="D148" s="14" t="s">
        <v>334</v>
      </c>
      <c r="E148" s="218" t="s">
        <v>334</v>
      </c>
      <c r="F148" s="1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14">
        <f t="shared" si="42"/>
        <v>4</v>
      </c>
      <c r="R148" s="417">
        <f t="shared" si="39"/>
        <v>0.89295864690929383</v>
      </c>
      <c r="S148" s="417">
        <f t="shared" si="39"/>
        <v>3.3141956164080599</v>
      </c>
      <c r="T148" s="417">
        <f t="shared" si="39"/>
        <v>1.8600037200074402</v>
      </c>
      <c r="U148" s="417">
        <f t="shared" si="39"/>
        <v>3.7200074400148804</v>
      </c>
      <c r="V148" s="264" t="str">
        <f t="shared" si="40"/>
        <v>OK</v>
      </c>
      <c r="W148" s="265">
        <f t="shared" si="41"/>
        <v>4.1659347304497922</v>
      </c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 x14ac:dyDescent="0.2">
      <c r="A149" s="14">
        <v>1</v>
      </c>
      <c r="B149" s="417">
        <f t="shared" ref="B149:B156" si="43">B71*D90*$B$14/(2*$B$17)</f>
        <v>2190.4214855980804</v>
      </c>
      <c r="C149" s="417">
        <f t="shared" ref="C149:C156" si="44">0.78*($B$14/2*B90)^0.5*B90</f>
        <v>3711.9048584789998</v>
      </c>
      <c r="D149" s="14">
        <f t="shared" ref="D149:D156" si="45">$K$35*$K$36+$B$36*$B$37</f>
        <v>1200</v>
      </c>
      <c r="E149" s="260">
        <f t="shared" ref="E149:E156" si="46">IF(C149&lt;D149,C149+D149,D149*2)</f>
        <v>2400</v>
      </c>
      <c r="F149" s="264" t="str">
        <f t="shared" ref="F149:F156" si="47">IF(E149&gt;B149,"OK","ERROR")</f>
        <v>OK</v>
      </c>
      <c r="G149" s="265">
        <f t="shared" ref="G149:G156" si="48">E149/B149</f>
        <v>1.0956795373766595</v>
      </c>
      <c r="H149" s="5"/>
      <c r="I149" s="5"/>
      <c r="J149" s="5"/>
      <c r="K149" s="5"/>
      <c r="L149" s="5"/>
      <c r="M149" s="5"/>
      <c r="N149" s="5"/>
      <c r="O149" s="5"/>
      <c r="P149" s="5"/>
      <c r="Q149" s="14">
        <f t="shared" si="42"/>
        <v>5</v>
      </c>
      <c r="R149" s="417">
        <f t="shared" si="39"/>
        <v>0.84043166767933541</v>
      </c>
      <c r="S149" s="417">
        <f t="shared" si="39"/>
        <v>2.7774698601965859</v>
      </c>
      <c r="T149" s="417">
        <f t="shared" si="39"/>
        <v>1.8600037200074402</v>
      </c>
      <c r="U149" s="417">
        <f t="shared" si="39"/>
        <v>3.7200074400148804</v>
      </c>
      <c r="V149" s="264" t="str">
        <f t="shared" si="40"/>
        <v>OK</v>
      </c>
      <c r="W149" s="265">
        <f t="shared" si="41"/>
        <v>4.4263056511029042</v>
      </c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 ht="12.75" customHeight="1" x14ac:dyDescent="0.2">
      <c r="A150" s="14">
        <f t="shared" ref="A150:A156" si="49">A149+1</f>
        <v>2</v>
      </c>
      <c r="B150" s="417">
        <f t="shared" si="43"/>
        <v>1338.5880838400001</v>
      </c>
      <c r="C150" s="417">
        <f t="shared" si="44"/>
        <v>3088.364617042489</v>
      </c>
      <c r="D150" s="14">
        <f t="shared" si="45"/>
        <v>1200</v>
      </c>
      <c r="E150" s="260">
        <f t="shared" si="46"/>
        <v>2400</v>
      </c>
      <c r="F150" s="264" t="str">
        <f t="shared" si="47"/>
        <v>OK</v>
      </c>
      <c r="G150" s="265">
        <f t="shared" si="48"/>
        <v>1.792933934623961</v>
      </c>
      <c r="H150" s="5"/>
      <c r="I150" s="5"/>
      <c r="J150" s="5"/>
      <c r="K150" s="5"/>
      <c r="L150" s="5"/>
      <c r="M150" s="5"/>
      <c r="N150" s="5"/>
      <c r="O150" s="5"/>
      <c r="P150" s="5"/>
      <c r="Q150" s="14">
        <f t="shared" si="42"/>
        <v>6</v>
      </c>
      <c r="R150" s="417">
        <f t="shared" si="39"/>
        <v>0.84043166767933541</v>
      </c>
      <c r="S150" s="417">
        <f t="shared" si="39"/>
        <v>2.7774698601965859</v>
      </c>
      <c r="T150" s="417">
        <f t="shared" si="39"/>
        <v>1.8600037200074402</v>
      </c>
      <c r="U150" s="417">
        <f t="shared" si="39"/>
        <v>3.7200074400148804</v>
      </c>
      <c r="V150" s="264" t="str">
        <f t="shared" si="40"/>
        <v>OK</v>
      </c>
      <c r="W150" s="265">
        <f t="shared" si="41"/>
        <v>4.4263056511029042</v>
      </c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 ht="12.75" customHeight="1" x14ac:dyDescent="0.2">
      <c r="A151" s="14">
        <f t="shared" si="49"/>
        <v>3</v>
      </c>
      <c r="B151" s="417">
        <f t="shared" si="43"/>
        <v>1118.31409536</v>
      </c>
      <c r="C151" s="417">
        <f t="shared" si="44"/>
        <v>2694.4228709317326</v>
      </c>
      <c r="D151" s="14">
        <f t="shared" si="45"/>
        <v>1200</v>
      </c>
      <c r="E151" s="260">
        <f t="shared" si="46"/>
        <v>2400</v>
      </c>
      <c r="F151" s="264" t="str">
        <f t="shared" si="47"/>
        <v>OK</v>
      </c>
      <c r="G151" s="265">
        <f t="shared" si="48"/>
        <v>2.1460875884135291</v>
      </c>
      <c r="H151" s="5"/>
      <c r="I151" s="5"/>
      <c r="J151" s="5"/>
      <c r="K151" s="5"/>
      <c r="L151" s="5"/>
      <c r="M151" s="5"/>
      <c r="N151" s="5"/>
      <c r="O151" s="5"/>
      <c r="P151" s="5"/>
      <c r="Q151" s="14">
        <f t="shared" si="42"/>
        <v>7</v>
      </c>
      <c r="R151" s="417">
        <f t="shared" si="39"/>
        <v>0.78790468844937689</v>
      </c>
      <c r="S151" s="417">
        <f t="shared" si="39"/>
        <v>2.7774698601965859</v>
      </c>
      <c r="T151" s="417">
        <f t="shared" si="39"/>
        <v>1.8600037200074402</v>
      </c>
      <c r="U151" s="417">
        <f t="shared" si="39"/>
        <v>3.7200074400148804</v>
      </c>
      <c r="V151" s="264" t="str">
        <f t="shared" si="40"/>
        <v>OK</v>
      </c>
      <c r="W151" s="265">
        <f t="shared" si="41"/>
        <v>4.7213926945097651</v>
      </c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 x14ac:dyDescent="0.2">
      <c r="A152" s="14">
        <f t="shared" si="49"/>
        <v>4</v>
      </c>
      <c r="B152" s="417">
        <f t="shared" si="43"/>
        <v>576.10120064</v>
      </c>
      <c r="C152" s="417">
        <f t="shared" si="44"/>
        <v>2138.1864438818238</v>
      </c>
      <c r="D152" s="14">
        <f t="shared" si="45"/>
        <v>1200</v>
      </c>
      <c r="E152" s="260">
        <f t="shared" si="46"/>
        <v>2400</v>
      </c>
      <c r="F152" s="264" t="str">
        <f t="shared" si="47"/>
        <v>OK</v>
      </c>
      <c r="G152" s="265">
        <f t="shared" si="48"/>
        <v>4.1659347304497922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 x14ac:dyDescent="0.2">
      <c r="A153" s="14">
        <f t="shared" si="49"/>
        <v>5</v>
      </c>
      <c r="B153" s="417">
        <f t="shared" si="43"/>
        <v>542.21289472000001</v>
      </c>
      <c r="C153" s="417">
        <f t="shared" si="44"/>
        <v>1791.9124550044291</v>
      </c>
      <c r="D153" s="14">
        <f t="shared" si="45"/>
        <v>1200</v>
      </c>
      <c r="E153" s="260">
        <f t="shared" si="46"/>
        <v>2400</v>
      </c>
      <c r="F153" s="264" t="str">
        <f t="shared" si="47"/>
        <v>OK</v>
      </c>
      <c r="G153" s="265">
        <f t="shared" si="48"/>
        <v>4.4263056511029042</v>
      </c>
      <c r="H153" s="5"/>
      <c r="I153" s="5"/>
      <c r="J153" s="5"/>
      <c r="K153" s="5"/>
      <c r="L153" s="5"/>
      <c r="M153" s="5"/>
      <c r="N153" s="5"/>
      <c r="O153" s="5"/>
      <c r="P153" s="5"/>
      <c r="Q153" s="5" t="s">
        <v>1175</v>
      </c>
      <c r="R153" s="64" t="s">
        <v>1176</v>
      </c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 x14ac:dyDescent="0.2">
      <c r="A154" s="14">
        <f t="shared" si="49"/>
        <v>6</v>
      </c>
      <c r="B154" s="417">
        <f t="shared" si="43"/>
        <v>542.21289472000001</v>
      </c>
      <c r="C154" s="417">
        <f t="shared" si="44"/>
        <v>1791.9124550044291</v>
      </c>
      <c r="D154" s="14">
        <f t="shared" si="45"/>
        <v>1200</v>
      </c>
      <c r="E154" s="260">
        <f t="shared" si="46"/>
        <v>2400</v>
      </c>
      <c r="F154" s="264" t="str">
        <f t="shared" si="47"/>
        <v>OK</v>
      </c>
      <c r="G154" s="265">
        <f t="shared" si="48"/>
        <v>4.4263056511029042</v>
      </c>
      <c r="H154" s="5"/>
      <c r="I154" s="5"/>
      <c r="J154" s="5"/>
      <c r="K154" s="5"/>
      <c r="L154" s="5"/>
      <c r="M154" s="5"/>
      <c r="N154" s="5"/>
      <c r="O154" s="5"/>
      <c r="P154" s="5"/>
      <c r="Q154" s="5" t="s">
        <v>1171</v>
      </c>
      <c r="R154" s="64" t="s">
        <v>1177</v>
      </c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 x14ac:dyDescent="0.2">
      <c r="A155" s="14">
        <f t="shared" si="49"/>
        <v>7</v>
      </c>
      <c r="B155" s="417">
        <f t="shared" si="43"/>
        <v>508.32458879999996</v>
      </c>
      <c r="C155" s="417">
        <f t="shared" si="44"/>
        <v>1791.9124550044291</v>
      </c>
      <c r="D155" s="14">
        <f t="shared" si="45"/>
        <v>1200</v>
      </c>
      <c r="E155" s="260">
        <f t="shared" si="46"/>
        <v>2400</v>
      </c>
      <c r="F155" s="264" t="str">
        <f t="shared" si="47"/>
        <v>OK</v>
      </c>
      <c r="G155" s="265">
        <f t="shared" si="48"/>
        <v>4.7213926945097651</v>
      </c>
      <c r="H155" s="5"/>
      <c r="I155" s="5"/>
      <c r="J155" s="5"/>
      <c r="K155" s="5"/>
      <c r="L155" s="5"/>
      <c r="M155" s="5"/>
      <c r="N155" s="5"/>
      <c r="O155" s="5"/>
      <c r="P155" s="5"/>
      <c r="Q155" s="5" t="s">
        <v>1172</v>
      </c>
      <c r="R155" s="64" t="s">
        <v>1178</v>
      </c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1:32" x14ac:dyDescent="0.2">
      <c r="A156" s="14">
        <f t="shared" si="49"/>
        <v>8</v>
      </c>
      <c r="B156" s="417">
        <f t="shared" si="43"/>
        <v>609.98950656000011</v>
      </c>
      <c r="C156" s="417">
        <f t="shared" si="44"/>
        <v>2138.1864438818238</v>
      </c>
      <c r="D156" s="14">
        <f t="shared" si="45"/>
        <v>1200</v>
      </c>
      <c r="E156" s="260">
        <f t="shared" si="46"/>
        <v>2400</v>
      </c>
      <c r="F156" s="264" t="str">
        <f t="shared" si="47"/>
        <v>OK</v>
      </c>
      <c r="G156" s="265">
        <f t="shared" si="48"/>
        <v>3.9344939120914697</v>
      </c>
      <c r="H156" s="5"/>
      <c r="I156" s="5"/>
      <c r="J156" s="5"/>
      <c r="K156" s="5"/>
      <c r="L156" s="5"/>
      <c r="M156" s="5"/>
      <c r="N156" s="5"/>
      <c r="O156" s="5"/>
      <c r="P156" s="5"/>
      <c r="Q156" s="5" t="s">
        <v>1173</v>
      </c>
      <c r="R156" s="64" t="s">
        <v>1179</v>
      </c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 x14ac:dyDescent="0.2">
      <c r="A157" s="14"/>
      <c r="B157" s="417"/>
      <c r="C157" s="417"/>
      <c r="D157" s="14"/>
      <c r="E157" s="260"/>
      <c r="F157" s="14"/>
      <c r="G157" s="26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 x14ac:dyDescent="0.2">
      <c r="A158" s="5" t="s">
        <v>1175</v>
      </c>
      <c r="B158" s="64" t="s">
        <v>1176</v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481" t="s">
        <v>1180</v>
      </c>
      <c r="R158" s="433"/>
      <c r="S158" s="433"/>
      <c r="T158" s="433"/>
      <c r="U158" s="433"/>
      <c r="V158" s="433"/>
      <c r="W158" s="433"/>
      <c r="X158" s="433"/>
      <c r="Y158" s="5"/>
      <c r="Z158" s="5"/>
      <c r="AA158" s="5"/>
      <c r="AB158" s="5"/>
      <c r="AC158" s="5"/>
      <c r="AD158" s="5"/>
      <c r="AE158" s="5"/>
      <c r="AF158" s="5"/>
    </row>
    <row r="159" spans="1:32" x14ac:dyDescent="0.2">
      <c r="A159" s="5" t="s">
        <v>1171</v>
      </c>
      <c r="B159" s="64" t="s">
        <v>1177</v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spans="1:32" x14ac:dyDescent="0.2">
      <c r="A160" s="5" t="s">
        <v>1172</v>
      </c>
      <c r="B160" s="64" t="s">
        <v>1178</v>
      </c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101"/>
      <c r="R160" s="466" t="s">
        <v>1181</v>
      </c>
      <c r="S160" s="466" t="s">
        <v>551</v>
      </c>
      <c r="T160" s="466" t="s">
        <v>1182</v>
      </c>
      <c r="U160" s="466" t="s">
        <v>1183</v>
      </c>
      <c r="V160" s="466" t="s">
        <v>1159</v>
      </c>
      <c r="W160" s="466" t="s">
        <v>1172</v>
      </c>
      <c r="X160" s="467"/>
      <c r="Y160" s="5"/>
      <c r="Z160" s="5"/>
      <c r="AA160" s="5"/>
      <c r="AB160" s="5"/>
      <c r="AC160" s="5"/>
      <c r="AD160" s="5"/>
      <c r="AE160" s="5"/>
      <c r="AF160" s="5"/>
    </row>
    <row r="161" spans="1:32" x14ac:dyDescent="0.2">
      <c r="A161" s="5" t="s">
        <v>1173</v>
      </c>
      <c r="B161" s="64" t="s">
        <v>1179</v>
      </c>
      <c r="C161" s="5"/>
      <c r="D161" s="5"/>
      <c r="E161" s="5"/>
      <c r="F161" s="5"/>
      <c r="G161" s="5"/>
      <c r="H161" s="5"/>
      <c r="I161" s="5"/>
      <c r="J161" s="5"/>
      <c r="K161" s="64" t="s">
        <v>1184</v>
      </c>
      <c r="L161" s="5"/>
      <c r="M161" s="5"/>
      <c r="N161" s="64" t="s">
        <v>1185</v>
      </c>
      <c r="O161" s="5"/>
      <c r="P161" s="5"/>
      <c r="Q161" s="101"/>
      <c r="R161" s="466" t="s">
        <v>248</v>
      </c>
      <c r="S161" s="466" t="s">
        <v>1186</v>
      </c>
      <c r="T161" s="466" t="s">
        <v>248</v>
      </c>
      <c r="U161" s="466" t="s">
        <v>248</v>
      </c>
      <c r="V161" s="466" t="s">
        <v>1174</v>
      </c>
      <c r="W161" s="466" t="s">
        <v>1174</v>
      </c>
      <c r="X161" s="101"/>
      <c r="Y161" s="5"/>
      <c r="Z161" s="5"/>
      <c r="AA161" s="5"/>
      <c r="AB161" s="5"/>
      <c r="AC161" s="5"/>
      <c r="AD161" s="5"/>
      <c r="AE161" s="5"/>
      <c r="AF161" s="5"/>
    </row>
    <row r="162" spans="1:32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64" t="s">
        <v>1187</v>
      </c>
      <c r="L162" s="5">
        <f>13.4*(B14/1000*'Main Dimensions Calcs'!L40)^0.5</f>
        <v>172.0885576672662</v>
      </c>
      <c r="M162" s="64" t="s">
        <v>247</v>
      </c>
      <c r="N162" s="64" t="s">
        <v>1187</v>
      </c>
      <c r="O162" s="5">
        <f>13.4*(B14/1000*'Main Dimensions Calcs'!H7)^0.5</f>
        <v>172.0885576672662</v>
      </c>
      <c r="P162" s="64" t="s">
        <v>247</v>
      </c>
      <c r="Q162" s="196" t="s">
        <v>1188</v>
      </c>
      <c r="R162" s="468">
        <f>B167/25.4</f>
        <v>0.98425196850393704</v>
      </c>
      <c r="S162" s="468">
        <f>C167*0.00571</f>
        <v>54.601875000000007</v>
      </c>
      <c r="T162" s="468">
        <f>D167/25.4</f>
        <v>6.7751400656404019</v>
      </c>
      <c r="U162" s="468">
        <f>E167/25.4</f>
        <v>15.846151021652053</v>
      </c>
      <c r="V162" s="468">
        <f>6*S162*R20/R22</f>
        <v>0.67182210924523666</v>
      </c>
      <c r="W162" s="468">
        <f>V162-(T162*'Main Dimensions Calcs'!L40/25.4+R162*U162)</f>
        <v>-17.058685609905336</v>
      </c>
      <c r="X162" s="469" t="str">
        <f>IF(W162&lt;0,"OK","error")</f>
        <v>OK</v>
      </c>
      <c r="Y162" s="5"/>
      <c r="Z162" s="5"/>
      <c r="AA162" s="5"/>
      <c r="AB162" s="5"/>
      <c r="AC162" s="5"/>
      <c r="AD162" s="5"/>
      <c r="AE162" s="5"/>
      <c r="AF162" s="5"/>
    </row>
    <row r="163" spans="1:32" x14ac:dyDescent="0.2">
      <c r="A163" s="121" t="s">
        <v>1180</v>
      </c>
      <c r="B163" s="5"/>
      <c r="C163" s="5"/>
      <c r="D163" s="5"/>
      <c r="E163" s="5"/>
      <c r="F163" s="5"/>
      <c r="G163" s="5"/>
      <c r="H163" s="5"/>
      <c r="I163" s="5"/>
      <c r="J163" s="5"/>
      <c r="K163" s="64" t="s">
        <v>1189</v>
      </c>
      <c r="L163" s="5">
        <f>250*$I$76*1000*$B$20/1000</f>
        <v>9562.5000000000018</v>
      </c>
      <c r="M163" s="5"/>
      <c r="N163" s="64" t="s">
        <v>1189</v>
      </c>
      <c r="O163" s="5">
        <f>250*$I$71*1000*$B$20/1000</f>
        <v>24238.687500000004</v>
      </c>
      <c r="P163" s="5"/>
      <c r="Q163" s="196" t="s">
        <v>1190</v>
      </c>
      <c r="R163" s="468">
        <f>B168/25.4</f>
        <v>0.39370078740157483</v>
      </c>
      <c r="S163" s="468">
        <f>C168*0.00571</f>
        <v>138.40290562500002</v>
      </c>
      <c r="T163" s="468">
        <f>D168/25.4</f>
        <v>6.7751400656404019</v>
      </c>
      <c r="U163" s="468">
        <f>E168/25.4</f>
        <v>10.551181102362206</v>
      </c>
      <c r="V163" s="468">
        <f>F168/(25.4*25.4)</f>
        <v>4.6811553270453334</v>
      </c>
      <c r="W163" s="468">
        <f>G168/(25.4*25.4)</f>
        <v>-1.6067553638501495</v>
      </c>
      <c r="X163" s="469" t="str">
        <f>IF(W163&lt;0,"OK","error")</f>
        <v>OK</v>
      </c>
      <c r="Y163" s="5"/>
      <c r="Z163" s="5"/>
      <c r="AA163" s="5"/>
      <c r="AB163" s="5"/>
      <c r="AC163" s="5"/>
      <c r="AD163" s="5"/>
      <c r="AE163" s="5"/>
      <c r="AF163" s="5"/>
    </row>
    <row r="164" spans="1:32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64" t="s">
        <v>1191</v>
      </c>
      <c r="L164" s="5">
        <f>37.5*L163*($B$14/1000)^3/($B$15*($B$23-1))*10000</f>
        <v>1751472.0610149729</v>
      </c>
      <c r="M164" s="64" t="s">
        <v>1155</v>
      </c>
      <c r="N164" s="64" t="s">
        <v>1191</v>
      </c>
      <c r="O164" s="5">
        <f>37.5*O163*($B$14/1000)^3/($B$15*($B$23-1))*10000</f>
        <v>4439569.5635997755</v>
      </c>
      <c r="P164" s="64" t="s">
        <v>1155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 x14ac:dyDescent="0.2">
      <c r="A165" s="470"/>
      <c r="B165" s="471" t="s">
        <v>1181</v>
      </c>
      <c r="C165" s="471" t="s">
        <v>551</v>
      </c>
      <c r="D165" s="471" t="s">
        <v>1182</v>
      </c>
      <c r="E165" s="471" t="s">
        <v>1183</v>
      </c>
      <c r="F165" s="471" t="s">
        <v>1159</v>
      </c>
      <c r="G165" s="471" t="s">
        <v>1172</v>
      </c>
      <c r="H165" s="467"/>
      <c r="I165" s="5"/>
      <c r="J165" s="5"/>
      <c r="K165" s="64" t="s">
        <v>1159</v>
      </c>
      <c r="L165" s="5">
        <f>L163*$B$14/1000/(2*$B$22)</f>
        <v>1191.469237277892</v>
      </c>
      <c r="M165" s="64" t="s">
        <v>334</v>
      </c>
      <c r="N165" s="64" t="s">
        <v>1159</v>
      </c>
      <c r="O165" s="5">
        <f>O163*$B$14/1000/(2*$B$22)</f>
        <v>3020.0941707965671</v>
      </c>
      <c r="P165" s="64" t="s">
        <v>334</v>
      </c>
      <c r="Q165" s="5"/>
      <c r="R165" s="466" t="s">
        <v>1191</v>
      </c>
      <c r="S165" s="466" t="s">
        <v>1192</v>
      </c>
      <c r="T165" s="64"/>
      <c r="U165" s="64"/>
      <c r="V165" s="64"/>
      <c r="W165" s="64"/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 x14ac:dyDescent="0.2">
      <c r="A166" s="470"/>
      <c r="B166" s="471" t="s">
        <v>247</v>
      </c>
      <c r="C166" s="471" t="s">
        <v>940</v>
      </c>
      <c r="D166" s="471" t="s">
        <v>247</v>
      </c>
      <c r="E166" s="471" t="s">
        <v>247</v>
      </c>
      <c r="F166" s="471" t="s">
        <v>334</v>
      </c>
      <c r="G166" s="471" t="s">
        <v>334</v>
      </c>
      <c r="H166" s="101"/>
      <c r="I166" s="5"/>
      <c r="J166" s="5"/>
      <c r="K166" s="64" t="s">
        <v>1182</v>
      </c>
      <c r="L166" s="5">
        <f>13.4*($B$14/1000*'Main Dimensions Calcs'!L40)^0.5</f>
        <v>172.0885576672662</v>
      </c>
      <c r="M166" s="64" t="s">
        <v>247</v>
      </c>
      <c r="N166" s="64" t="s">
        <v>1182</v>
      </c>
      <c r="O166" s="5">
        <f>13.4*($B$14/1000*'Main Dimensions Calcs'!H7)^0.5</f>
        <v>172.0885576672662</v>
      </c>
      <c r="P166" s="64" t="s">
        <v>247</v>
      </c>
      <c r="Q166" s="5"/>
      <c r="R166" s="466" t="s">
        <v>1154</v>
      </c>
      <c r="S166" s="466" t="s">
        <v>1154</v>
      </c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 x14ac:dyDescent="0.2">
      <c r="A167" s="471" t="s">
        <v>1188</v>
      </c>
      <c r="B167" s="472">
        <f>'Main Dimensions Calcs'!L42</f>
        <v>25</v>
      </c>
      <c r="C167" s="472">
        <f>L163</f>
        <v>9562.5000000000018</v>
      </c>
      <c r="D167" s="472">
        <f>L166</f>
        <v>172.0885576672662</v>
      </c>
      <c r="E167" s="472">
        <f>'Inner Tank Compression Ring 1'!B31</f>
        <v>402.49223594996215</v>
      </c>
      <c r="F167" s="472">
        <f>6*S162*R20/R22*25.4*25.4</f>
        <v>433.43275200065682</v>
      </c>
      <c r="G167" s="473">
        <f>L168</f>
        <v>-10247.54512280929</v>
      </c>
      <c r="H167" s="469" t="str">
        <f>IF(G167&lt;0,"OK","error")</f>
        <v>OK</v>
      </c>
      <c r="I167" s="5"/>
      <c r="J167" s="5"/>
      <c r="K167" s="64" t="s">
        <v>1193</v>
      </c>
      <c r="L167" s="306">
        <f>E167</f>
        <v>402.49223594996215</v>
      </c>
      <c r="M167" s="64" t="s">
        <v>247</v>
      </c>
      <c r="N167" s="64" t="s">
        <v>1194</v>
      </c>
      <c r="O167" s="433">
        <f>16*'Inner Vessel Shell Thickness'!B85+'Main Dimensions Calcs'!H7+100</f>
        <v>268</v>
      </c>
      <c r="P167" s="64" t="s">
        <v>247</v>
      </c>
      <c r="Q167" s="293" t="s">
        <v>1188</v>
      </c>
      <c r="R167" s="474">
        <f>684*S162*R14^3/(R15*(R23-1))</f>
        <v>4.4415185176351839</v>
      </c>
      <c r="S167" s="474">
        <f>C172/(25.4^4)</f>
        <v>283.34844890966684</v>
      </c>
      <c r="T167" s="469" t="str">
        <f>IF(S167/R167&gt;1,"OK","error")</f>
        <v>OK</v>
      </c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x14ac:dyDescent="0.2">
      <c r="A168" s="471" t="s">
        <v>1190</v>
      </c>
      <c r="B168" s="472">
        <v>10</v>
      </c>
      <c r="C168" s="472">
        <f>O163</f>
        <v>24238.687500000004</v>
      </c>
      <c r="D168" s="472">
        <f>O166</f>
        <v>172.0885576672662</v>
      </c>
      <c r="E168" s="472">
        <f>O167</f>
        <v>268</v>
      </c>
      <c r="F168" s="472">
        <f>O165</f>
        <v>3020.0941707965671</v>
      </c>
      <c r="G168" s="475">
        <f>O168</f>
        <v>-1036.6142905415625</v>
      </c>
      <c r="H168" s="469" t="str">
        <f>IF(G168&lt;0,"OK","error")</f>
        <v>OK</v>
      </c>
      <c r="I168" s="5"/>
      <c r="J168" s="5"/>
      <c r="K168" s="64" t="s">
        <v>1172</v>
      </c>
      <c r="L168" s="5">
        <f>L165-'Main Dimensions Calcs'!$L$40*L166-L167*'Main Dimensions Calcs'!$L$42</f>
        <v>-10247.54512280929</v>
      </c>
      <c r="M168" s="5"/>
      <c r="N168" s="64" t="s">
        <v>1172</v>
      </c>
      <c r="O168" s="5">
        <f>O165-'Main Dimensions Calcs'!H7*O166-O167*'Inner Vessel Shell Thickness'!B85</f>
        <v>-1036.6142905415625</v>
      </c>
      <c r="P168" s="5"/>
      <c r="Q168" s="293" t="s">
        <v>1190</v>
      </c>
      <c r="R168" s="474">
        <f>B173/(25.4^4)</f>
        <v>10.666108540939961</v>
      </c>
      <c r="S168" s="474">
        <f>1/12*(('Main Dimensions Calcs'!H7/25.4)^3*T163+U163^3*R163)+U163*R163*(U163/2-2.56)^2</f>
        <v>69.189012147814339</v>
      </c>
      <c r="T168" s="469" t="str">
        <f>IF(S168/R168&gt;1,"OK","error")</f>
        <v>OK</v>
      </c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 x14ac:dyDescent="0.2">
      <c r="A169" s="433"/>
      <c r="B169" s="433"/>
      <c r="C169" s="433"/>
      <c r="D169" s="433"/>
      <c r="E169" s="433"/>
      <c r="F169" s="433"/>
      <c r="G169" s="433"/>
      <c r="H169" s="5"/>
      <c r="I169" s="5"/>
      <c r="J169" s="5"/>
      <c r="K169" s="64" t="s">
        <v>1192</v>
      </c>
      <c r="L169" s="5">
        <f>1/12*((L167*COS(ATAN('Main Dimensions Calcs'!D52/('Main Dimensions Calcs'!D53/2))))^3*'Main Dimensions Calcs'!L42+'Main Dimensions Calcs'!L40^3*L166)</f>
        <v>117938528.83121939</v>
      </c>
      <c r="M169" s="64" t="s">
        <v>334</v>
      </c>
      <c r="N169" s="64" t="s">
        <v>1192</v>
      </c>
      <c r="O169" s="64">
        <f>1/12*('Main Dimensions Calcs'!O173^3*'Inner Vessel Shell Thickness'!B85+O166*'Main Dimensions Calcs'!H7^3)+O167*'Inner Vessel Shell Thickness'!B85*(O167/2-65)^2</f>
        <v>12766822.445127137</v>
      </c>
      <c r="P169" s="64" t="s">
        <v>1155</v>
      </c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 x14ac:dyDescent="0.2">
      <c r="A170" s="433"/>
      <c r="B170" s="471" t="s">
        <v>1191</v>
      </c>
      <c r="C170" s="471" t="s">
        <v>1192</v>
      </c>
      <c r="D170" s="366"/>
      <c r="E170" s="366"/>
      <c r="F170" s="366"/>
      <c r="G170" s="366"/>
      <c r="H170" s="5"/>
      <c r="I170" s="5"/>
      <c r="J170" s="5"/>
      <c r="K170" s="64" t="s">
        <v>1195</v>
      </c>
      <c r="L170" s="5">
        <f>L169/L164</f>
        <v>67.336802827944837</v>
      </c>
      <c r="M170" s="5"/>
      <c r="N170" s="64" t="s">
        <v>1195</v>
      </c>
      <c r="O170" s="5">
        <f>O169/O164</f>
        <v>2.8756892446967992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 x14ac:dyDescent="0.2">
      <c r="A171" s="433"/>
      <c r="B171" s="471" t="s">
        <v>1155</v>
      </c>
      <c r="C171" s="471" t="s">
        <v>1155</v>
      </c>
      <c r="D171" s="433"/>
      <c r="E171" s="433"/>
      <c r="F171" s="433"/>
      <c r="G171" s="433"/>
      <c r="H171" s="5"/>
      <c r="I171" s="5"/>
      <c r="J171" s="5"/>
      <c r="K171" s="5"/>
      <c r="L171" s="5"/>
      <c r="M171" s="5"/>
      <c r="N171" s="5"/>
      <c r="O171" s="5"/>
      <c r="P171" s="5"/>
      <c r="Q171" s="64" t="s">
        <v>1196</v>
      </c>
      <c r="R171" s="64" t="s">
        <v>1197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1:32" x14ac:dyDescent="0.2">
      <c r="A172" s="476" t="s">
        <v>1188</v>
      </c>
      <c r="B172" s="477">
        <f>L164</f>
        <v>1751472.0610149729</v>
      </c>
      <c r="C172" s="477">
        <f>L169</f>
        <v>117938528.83121939</v>
      </c>
      <c r="D172" s="470" t="str">
        <f>IF(C172/B172&gt;1,"OK","error")</f>
        <v>OK</v>
      </c>
      <c r="E172" s="433"/>
      <c r="F172" s="433"/>
      <c r="G172" s="433"/>
      <c r="H172" s="5"/>
      <c r="I172" s="5"/>
      <c r="J172" s="5"/>
      <c r="K172" s="5"/>
      <c r="L172" s="5"/>
      <c r="M172" s="5"/>
      <c r="N172" s="5"/>
      <c r="O172" s="5"/>
      <c r="P172" s="5"/>
      <c r="Q172" s="64" t="s">
        <v>1198</v>
      </c>
      <c r="R172" s="64" t="s">
        <v>1199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spans="1:32" x14ac:dyDescent="0.2">
      <c r="A173" s="476" t="s">
        <v>1190</v>
      </c>
      <c r="B173" s="478">
        <f>O164</f>
        <v>4439569.5635997755</v>
      </c>
      <c r="C173" s="477">
        <f>S168*(25.4^4)</f>
        <v>28798641.162140477</v>
      </c>
      <c r="D173" s="470" t="str">
        <f>IF(C173/B173&gt;1,"OK","error")</f>
        <v>OK</v>
      </c>
      <c r="E173" s="433"/>
      <c r="F173" s="433"/>
      <c r="G173" s="433"/>
      <c r="H173" s="5"/>
      <c r="I173" s="5"/>
      <c r="J173" s="5"/>
      <c r="K173" s="5"/>
      <c r="L173" s="5"/>
      <c r="M173" s="5"/>
      <c r="N173" s="5"/>
      <c r="O173" s="5"/>
      <c r="P173" s="5"/>
      <c r="Q173" s="64" t="s">
        <v>1200</v>
      </c>
      <c r="R173" s="64" t="s">
        <v>1201</v>
      </c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64" t="s">
        <v>1202</v>
      </c>
      <c r="R174" s="64" t="s">
        <v>1203</v>
      </c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64" t="s">
        <v>1204</v>
      </c>
      <c r="R175" s="64" t="s">
        <v>1205</v>
      </c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2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>
        <f>6*S162*$R$14/$R$22</f>
        <v>1.8467046138933065</v>
      </c>
      <c r="M176" s="5"/>
      <c r="N176" s="64" t="s">
        <v>1206</v>
      </c>
      <c r="O176" s="5">
        <f>132.77*R20/48</f>
        <v>68.062048884514439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1:32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 t="e">
        <f>684*S162*$R$14^3/($R$15*($L$178-1))</f>
        <v>#DIV/0!</v>
      </c>
      <c r="M177" s="5"/>
      <c r="N177" s="5"/>
      <c r="O177" s="5">
        <f>6*S163*$R$14/$R$22</f>
        <v>4.6809616774868514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1:32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64" t="s">
        <v>1207</v>
      </c>
      <c r="L178" s="5" t="e">
        <f>(5.33*R14^3/(0.31*('Main Dimensions Calcs'!N18)^2))^0.5</f>
        <v>#DIV/0!</v>
      </c>
      <c r="M178" s="5"/>
      <c r="N178" s="5"/>
      <c r="O178" s="5" t="e">
        <f>684*S163*$R$14^3/($R$15*($L$178-1))</f>
        <v>#DIV/0!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1:32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6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</sheetData>
  <mergeCells count="88">
    <mergeCell ref="A1:C3"/>
    <mergeCell ref="D1:H1"/>
    <mergeCell ref="I1:K3"/>
    <mergeCell ref="L1:P1"/>
    <mergeCell ref="Q1:S3"/>
    <mergeCell ref="Y1:AA3"/>
    <mergeCell ref="AB1:AF1"/>
    <mergeCell ref="D2:H2"/>
    <mergeCell ref="L2:P2"/>
    <mergeCell ref="T2:X2"/>
    <mergeCell ref="AB2:AF2"/>
    <mergeCell ref="D3:H3"/>
    <mergeCell ref="L3:P3"/>
    <mergeCell ref="T3:X3"/>
    <mergeCell ref="AB3:AF3"/>
    <mergeCell ref="T1:X1"/>
    <mergeCell ref="AE4:AF4"/>
    <mergeCell ref="A4:C4"/>
    <mergeCell ref="E4:F4"/>
    <mergeCell ref="G4:H4"/>
    <mergeCell ref="I4:K4"/>
    <mergeCell ref="M4:N4"/>
    <mergeCell ref="O4:P4"/>
    <mergeCell ref="Q4:S4"/>
    <mergeCell ref="U4:V4"/>
    <mergeCell ref="W4:X4"/>
    <mergeCell ref="Y4:AA4"/>
    <mergeCell ref="AC4:AD4"/>
    <mergeCell ref="Y5:AA5"/>
    <mergeCell ref="AC5:AD5"/>
    <mergeCell ref="A7:H10"/>
    <mergeCell ref="Q7:X10"/>
    <mergeCell ref="D23:H24"/>
    <mergeCell ref="T23:X24"/>
    <mergeCell ref="A5:C5"/>
    <mergeCell ref="E5:F5"/>
    <mergeCell ref="I5:K5"/>
    <mergeCell ref="M5:N5"/>
    <mergeCell ref="Q5:S5"/>
    <mergeCell ref="U5:V5"/>
    <mergeCell ref="A40:H41"/>
    <mergeCell ref="Q40:X41"/>
    <mergeCell ref="D48:H49"/>
    <mergeCell ref="T48:X49"/>
    <mergeCell ref="A62:C64"/>
    <mergeCell ref="D62:H62"/>
    <mergeCell ref="Q62:S64"/>
    <mergeCell ref="T62:X62"/>
    <mergeCell ref="D63:H63"/>
    <mergeCell ref="T63:X63"/>
    <mergeCell ref="D64:H64"/>
    <mergeCell ref="T64:X64"/>
    <mergeCell ref="W65:X65"/>
    <mergeCell ref="A66:C66"/>
    <mergeCell ref="E66:F66"/>
    <mergeCell ref="Q66:S66"/>
    <mergeCell ref="U66:V66"/>
    <mergeCell ref="A65:C65"/>
    <mergeCell ref="E65:F65"/>
    <mergeCell ref="G65:H65"/>
    <mergeCell ref="Q65:S65"/>
    <mergeCell ref="U65:V65"/>
    <mergeCell ref="B109:G109"/>
    <mergeCell ref="R109:W109"/>
    <mergeCell ref="W121:X121"/>
    <mergeCell ref="A118:C120"/>
    <mergeCell ref="D118:H118"/>
    <mergeCell ref="Q118:S120"/>
    <mergeCell ref="T118:X118"/>
    <mergeCell ref="D119:H119"/>
    <mergeCell ref="T119:X119"/>
    <mergeCell ref="D120:H120"/>
    <mergeCell ref="T120:X120"/>
    <mergeCell ref="A121:C121"/>
    <mergeCell ref="E121:F121"/>
    <mergeCell ref="G121:H121"/>
    <mergeCell ref="Q121:S121"/>
    <mergeCell ref="U121:V121"/>
    <mergeCell ref="R136:X136"/>
    <mergeCell ref="B137:H138"/>
    <mergeCell ref="R137:X137"/>
    <mergeCell ref="B139:H141"/>
    <mergeCell ref="A122:C122"/>
    <mergeCell ref="E122:F122"/>
    <mergeCell ref="Q122:S122"/>
    <mergeCell ref="U122:V122"/>
    <mergeCell ref="R134:X134"/>
    <mergeCell ref="B135:H135"/>
  </mergeCells>
  <pageMargins left="0.75" right="0.75" top="1" bottom="1" header="0" footer="0"/>
  <pageSetup paperSize="9" scale="90" fitToHeight="0" orientation="portrait"/>
  <headerFooter alignWithMargins="0">
    <oddFooter>&amp;L&amp;D&amp;R&amp;P/&amp;N</oddFooter>
  </headerFooter>
  <rowBreaks count="4" manualBreakCount="4">
    <brk id="61" max="7" man="1"/>
    <brk id="61" min="16" max="23" man="1"/>
    <brk id="117" max="7" man="1"/>
    <brk id="117" min="16" max="2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tabColor rgb="FF00B050"/>
    <pageSetUpPr fitToPage="1"/>
  </sheetPr>
  <dimension ref="A1:X105"/>
  <sheetViews>
    <sheetView workbookViewId="0">
      <selection activeCell="F21" sqref="F21"/>
    </sheetView>
    <sheetView tabSelected="1" zoomScale="85" zoomScaleNormal="85" workbookViewId="1">
      <selection sqref="A1:AK5"/>
    </sheetView>
  </sheetViews>
  <sheetFormatPr defaultColWidth="11.42578125" defaultRowHeight="12.75" x14ac:dyDescent="0.2"/>
  <cols>
    <col min="1" max="1" width="17" customWidth="1"/>
    <col min="2" max="2" width="8.85546875" customWidth="1"/>
    <col min="3" max="3" width="12.57031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10" customWidth="1"/>
    <col min="9" max="9" width="15.5703125" customWidth="1"/>
    <col min="10" max="10" width="11" customWidth="1"/>
    <col min="11" max="11" width="12.140625" customWidth="1"/>
    <col min="14" max="14" width="12.42578125" customWidth="1"/>
    <col min="18" max="18" width="8.140625" customWidth="1"/>
  </cols>
  <sheetData>
    <row r="1" spans="1:24" ht="17.25" customHeight="1" thickTop="1" thickBot="1" x14ac:dyDescent="0.3">
      <c r="A1" s="28"/>
      <c r="B1" s="4"/>
      <c r="C1" s="408"/>
      <c r="D1" s="934" t="str">
        <f>'Front Page'!$A$13</f>
        <v>Mechanical  Calculations</v>
      </c>
      <c r="E1" s="842"/>
      <c r="F1" s="842"/>
      <c r="G1" s="842"/>
      <c r="H1" s="859"/>
      <c r="I1" s="28"/>
      <c r="J1" s="4"/>
      <c r="K1" s="408"/>
      <c r="L1" s="934" t="str">
        <f>'Front Page'!$A$13</f>
        <v>Mechanical  Calculations</v>
      </c>
      <c r="M1" s="842"/>
      <c r="N1" s="842"/>
      <c r="O1" s="842"/>
      <c r="P1" s="859"/>
      <c r="Q1" s="5"/>
      <c r="R1" s="5"/>
      <c r="S1" s="5"/>
      <c r="T1" s="5"/>
      <c r="U1" s="5"/>
      <c r="V1" s="5"/>
      <c r="W1" s="5"/>
      <c r="X1" s="5"/>
    </row>
    <row r="2" spans="1:24" ht="16.5" customHeight="1" thickBot="1" x14ac:dyDescent="0.3">
      <c r="A2" s="6"/>
      <c r="B2" s="5"/>
      <c r="C2" s="14"/>
      <c r="D2" s="984"/>
      <c r="E2" s="831"/>
      <c r="F2" s="831"/>
      <c r="G2" s="831"/>
      <c r="H2" s="854"/>
      <c r="I2" s="6"/>
      <c r="J2" s="5"/>
      <c r="K2" s="14"/>
      <c r="L2" s="984"/>
      <c r="M2" s="831"/>
      <c r="N2" s="831"/>
      <c r="O2" s="831"/>
      <c r="P2" s="854"/>
      <c r="Q2" s="5"/>
      <c r="R2" s="5"/>
      <c r="S2" s="5"/>
      <c r="T2" s="5"/>
      <c r="U2" s="5"/>
      <c r="V2" s="5"/>
      <c r="W2" s="5"/>
      <c r="X2" s="5"/>
    </row>
    <row r="3" spans="1:24" ht="16.5" customHeight="1" thickBot="1" x14ac:dyDescent="0.3">
      <c r="A3" s="8"/>
      <c r="B3" s="9"/>
      <c r="C3" s="409"/>
      <c r="D3" s="985" t="s">
        <v>1214</v>
      </c>
      <c r="E3" s="834"/>
      <c r="F3" s="834"/>
      <c r="G3" s="834"/>
      <c r="H3" s="986"/>
      <c r="I3" s="8"/>
      <c r="J3" s="9"/>
      <c r="K3" s="409"/>
      <c r="L3" s="985" t="s">
        <v>1214</v>
      </c>
      <c r="M3" s="834"/>
      <c r="N3" s="834"/>
      <c r="O3" s="834"/>
      <c r="P3" s="986"/>
      <c r="Q3" s="5"/>
      <c r="R3" s="5"/>
      <c r="S3" s="5"/>
      <c r="T3" s="5"/>
      <c r="U3" s="5"/>
      <c r="V3" s="5"/>
      <c r="W3" s="5"/>
      <c r="X3" s="5"/>
    </row>
    <row r="4" spans="1:24" ht="16.5" customHeight="1" thickTop="1" thickBot="1" x14ac:dyDescent="0.3">
      <c r="A4" s="873"/>
      <c r="B4" s="848"/>
      <c r="C4" s="865"/>
      <c r="D4" s="385" t="str">
        <f>'Front Page'!$D$4</f>
        <v>Doc Nº</v>
      </c>
      <c r="E4" s="980"/>
      <c r="F4" s="843"/>
      <c r="G4" s="980"/>
      <c r="H4" s="843"/>
      <c r="I4" s="873"/>
      <c r="J4" s="848"/>
      <c r="K4" s="865"/>
      <c r="L4" s="385" t="str">
        <f>'Front Page'!$D$4</f>
        <v>Doc Nº</v>
      </c>
      <c r="M4" s="980"/>
      <c r="N4" s="843"/>
      <c r="O4" s="980"/>
      <c r="P4" s="843"/>
      <c r="Q4" s="5"/>
      <c r="R4" s="5"/>
      <c r="S4" s="5"/>
      <c r="T4" s="5"/>
      <c r="U4" s="5"/>
      <c r="V4" s="5"/>
      <c r="W4" s="5"/>
      <c r="X4" s="5"/>
    </row>
    <row r="5" spans="1:24" ht="15.75" customHeight="1" thickBot="1" x14ac:dyDescent="0.3">
      <c r="A5" s="860"/>
      <c r="B5" s="851"/>
      <c r="C5" s="861"/>
      <c r="D5" s="386" t="str">
        <f>'Front Page'!$D$5</f>
        <v>Project</v>
      </c>
      <c r="E5" s="899"/>
      <c r="F5" s="835"/>
      <c r="G5" s="131" t="s">
        <v>5</v>
      </c>
      <c r="H5" s="132"/>
      <c r="I5" s="860"/>
      <c r="J5" s="851"/>
      <c r="K5" s="861"/>
      <c r="L5" s="386" t="str">
        <f>'Front Page'!$D$5</f>
        <v>Project</v>
      </c>
      <c r="M5" s="899"/>
      <c r="N5" s="835"/>
      <c r="O5" s="131" t="s">
        <v>5</v>
      </c>
      <c r="P5" s="427"/>
      <c r="Q5" s="5"/>
      <c r="R5" s="5"/>
      <c r="S5" s="5"/>
      <c r="T5" s="5"/>
      <c r="U5" s="5"/>
      <c r="V5" s="5"/>
      <c r="W5" s="5"/>
      <c r="X5" s="5"/>
    </row>
    <row r="6" spans="1:24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  <c r="S6" s="5"/>
      <c r="T6" s="5"/>
      <c r="U6" s="5"/>
      <c r="V6" s="5"/>
      <c r="W6" s="5"/>
      <c r="X6" s="5"/>
    </row>
    <row r="7" spans="1:24" ht="18" customHeight="1" x14ac:dyDescent="0.25">
      <c r="A7" s="134" t="s">
        <v>883</v>
      </c>
      <c r="B7" s="5"/>
      <c r="C7" s="5"/>
      <c r="D7" s="5"/>
      <c r="E7" s="65"/>
      <c r="F7" s="65"/>
      <c r="G7" s="142"/>
      <c r="H7" s="117"/>
      <c r="I7" s="134" t="s">
        <v>883</v>
      </c>
      <c r="J7" s="5"/>
      <c r="K7" s="5"/>
      <c r="L7" s="5"/>
      <c r="M7" s="65"/>
      <c r="N7" s="65"/>
      <c r="O7" s="142"/>
      <c r="P7" s="117"/>
      <c r="Q7" s="5"/>
      <c r="R7" s="5"/>
      <c r="S7" s="5"/>
      <c r="T7" s="5"/>
      <c r="U7" s="5"/>
      <c r="V7" s="5"/>
      <c r="W7" s="5"/>
      <c r="X7" s="5"/>
    </row>
    <row r="8" spans="1:24" ht="12" customHeight="1" x14ac:dyDescent="0.2">
      <c r="A8" s="118"/>
      <c r="B8" s="5"/>
      <c r="C8" s="5"/>
      <c r="D8" s="5"/>
      <c r="E8" s="65"/>
      <c r="F8" s="65"/>
      <c r="G8" s="142"/>
      <c r="H8" s="117"/>
      <c r="I8" s="118"/>
      <c r="J8" s="5"/>
      <c r="K8" s="5"/>
      <c r="L8" s="5"/>
      <c r="M8" s="65"/>
      <c r="N8" s="65"/>
      <c r="O8" s="142"/>
      <c r="P8" s="117"/>
      <c r="Q8" s="5"/>
      <c r="R8" s="5"/>
      <c r="S8" s="5"/>
      <c r="T8" s="5"/>
      <c r="U8" s="5"/>
      <c r="V8" s="5"/>
      <c r="W8" s="5"/>
      <c r="X8" s="5"/>
    </row>
    <row r="9" spans="1:24" ht="28.5" customHeight="1" x14ac:dyDescent="0.2">
      <c r="A9" s="226" t="s">
        <v>898</v>
      </c>
      <c r="B9" s="389">
        <f>'Allowable Stresses'!G31</f>
        <v>155.12961941533371</v>
      </c>
      <c r="C9" s="982" t="s">
        <v>1215</v>
      </c>
      <c r="D9" s="809"/>
      <c r="E9" s="809"/>
      <c r="F9" s="809"/>
      <c r="G9" s="809"/>
      <c r="H9" s="212"/>
      <c r="I9" s="226" t="s">
        <v>898</v>
      </c>
      <c r="J9" s="389">
        <f>B9*145.04</f>
        <v>22500</v>
      </c>
      <c r="K9" s="901" t="s">
        <v>1216</v>
      </c>
      <c r="L9" s="809"/>
      <c r="M9" s="809"/>
      <c r="N9" s="809"/>
      <c r="O9" s="809"/>
      <c r="P9" s="809"/>
      <c r="Q9" s="5"/>
      <c r="R9" s="5"/>
      <c r="S9" s="5"/>
      <c r="T9" s="5"/>
      <c r="U9" s="5"/>
      <c r="V9" s="5"/>
      <c r="W9" s="5"/>
      <c r="X9" s="5"/>
    </row>
    <row r="10" spans="1:24" x14ac:dyDescent="0.2">
      <c r="A10" s="226"/>
      <c r="B10" s="5"/>
      <c r="C10" s="212"/>
      <c r="D10" s="212"/>
      <c r="E10" s="212"/>
      <c r="F10" s="212"/>
      <c r="G10" s="212"/>
      <c r="H10" s="117"/>
      <c r="I10" s="226" t="s">
        <v>906</v>
      </c>
      <c r="J10" s="216">
        <v>0.35</v>
      </c>
      <c r="K10" s="5" t="s">
        <v>1217</v>
      </c>
      <c r="L10" s="5"/>
      <c r="M10" s="5"/>
      <c r="N10" s="5"/>
      <c r="O10" s="5"/>
      <c r="P10" s="117"/>
      <c r="Q10" s="5"/>
      <c r="R10" s="5"/>
      <c r="S10" s="5"/>
      <c r="T10" s="5"/>
      <c r="U10" s="5"/>
      <c r="V10" s="5"/>
      <c r="W10" s="5"/>
      <c r="X10" s="5"/>
    </row>
    <row r="11" spans="1:24" ht="13.35" customHeight="1" x14ac:dyDescent="0.2">
      <c r="A11" s="226" t="s">
        <v>906</v>
      </c>
      <c r="B11" s="216">
        <v>0.35</v>
      </c>
      <c r="C11" s="982" t="s">
        <v>1217</v>
      </c>
      <c r="D11" s="809"/>
      <c r="E11" s="809"/>
      <c r="F11" s="809"/>
      <c r="G11" s="809"/>
      <c r="H11" s="117"/>
      <c r="I11" s="226" t="s">
        <v>1218</v>
      </c>
      <c r="J11" s="390">
        <f>B12*1000/25.4</f>
        <v>708.66141732283472</v>
      </c>
      <c r="K11" s="64" t="s">
        <v>1219</v>
      </c>
      <c r="L11" s="5"/>
      <c r="M11" s="5"/>
      <c r="N11" s="5"/>
      <c r="O11" s="212"/>
      <c r="P11" s="117"/>
      <c r="Q11" s="5"/>
      <c r="R11" s="5"/>
      <c r="S11" s="5"/>
      <c r="T11" s="5"/>
      <c r="U11" s="5"/>
      <c r="V11" s="5"/>
      <c r="W11" s="5"/>
      <c r="X11" s="5"/>
    </row>
    <row r="12" spans="1:24" x14ac:dyDescent="0.2">
      <c r="A12" s="226" t="s">
        <v>1218</v>
      </c>
      <c r="B12" s="389">
        <f>'Main Dimensions Calcs'!D54/1000</f>
        <v>18</v>
      </c>
      <c r="C12" s="5" t="s">
        <v>1220</v>
      </c>
      <c r="D12" s="5"/>
      <c r="E12" s="5"/>
      <c r="F12" s="5"/>
      <c r="G12" s="212"/>
      <c r="H12" s="117"/>
      <c r="I12" s="226" t="s">
        <v>908</v>
      </c>
      <c r="J12" s="390">
        <f>B13*1000/25.4</f>
        <v>811.02362204724409</v>
      </c>
      <c r="K12" s="64" t="s">
        <v>910</v>
      </c>
      <c r="L12" s="5"/>
      <c r="M12" s="5"/>
      <c r="N12" s="5"/>
      <c r="O12" s="212"/>
      <c r="P12" s="117"/>
      <c r="Q12" s="5"/>
      <c r="R12" s="5"/>
      <c r="S12" s="5"/>
      <c r="T12" s="5"/>
      <c r="U12" s="5"/>
      <c r="V12" s="5"/>
      <c r="W12" s="5"/>
      <c r="X12" s="5"/>
    </row>
    <row r="13" spans="1:24" ht="17.25" customHeight="1" x14ac:dyDescent="0.2">
      <c r="A13" s="226" t="s">
        <v>908</v>
      </c>
      <c r="B13" s="389">
        <f>'Main Dimensions Calcs'!D53/1000</f>
        <v>20.6</v>
      </c>
      <c r="C13" s="5" t="s">
        <v>909</v>
      </c>
      <c r="D13" s="5"/>
      <c r="E13" s="5"/>
      <c r="F13" s="5"/>
      <c r="G13" s="212"/>
      <c r="H13" s="5"/>
      <c r="I13" s="341" t="s">
        <v>1221</v>
      </c>
      <c r="J13" s="482">
        <f>+'Main Dimensions Calcs'!D56/25.4</f>
        <v>0.47244094488188981</v>
      </c>
      <c r="K13" s="64" t="s">
        <v>1222</v>
      </c>
      <c r="L13" s="64"/>
      <c r="M13" s="6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7.25" customHeight="1" x14ac:dyDescent="0.2">
      <c r="A14" s="5"/>
      <c r="B14" s="5"/>
      <c r="C14" s="5"/>
      <c r="D14" s="5"/>
      <c r="E14" s="5"/>
      <c r="F14" s="5"/>
      <c r="G14" s="5"/>
      <c r="H14" s="5"/>
      <c r="I14" s="341" t="s">
        <v>1223</v>
      </c>
      <c r="J14" s="482">
        <f>+'Main Dimensions Calcs'!D55/25.4</f>
        <v>0.39370078740157483</v>
      </c>
      <c r="K14" s="64" t="s">
        <v>1224</v>
      </c>
      <c r="L14" s="64"/>
      <c r="M14" s="6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2.75" customHeight="1" x14ac:dyDescent="0.2">
      <c r="A15" s="5"/>
      <c r="B15" s="226" t="s">
        <v>197</v>
      </c>
      <c r="C15" s="982" t="s">
        <v>884</v>
      </c>
      <c r="D15" s="809"/>
      <c r="E15" s="809"/>
      <c r="F15" s="809"/>
      <c r="G15" s="809"/>
      <c r="H15" s="5"/>
      <c r="I15" s="5"/>
      <c r="J15" s="226" t="s">
        <v>197</v>
      </c>
      <c r="K15" s="982" t="s">
        <v>884</v>
      </c>
      <c r="L15" s="809"/>
      <c r="M15" s="809"/>
      <c r="N15" s="809"/>
      <c r="O15" s="809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">
      <c r="A16" s="5"/>
      <c r="B16" s="226"/>
      <c r="C16" s="809"/>
      <c r="D16" s="809"/>
      <c r="E16" s="809"/>
      <c r="F16" s="809"/>
      <c r="G16" s="809"/>
      <c r="H16" s="5"/>
      <c r="I16" s="5"/>
      <c r="J16" s="226"/>
      <c r="K16" s="809"/>
      <c r="L16" s="809"/>
      <c r="M16" s="809"/>
      <c r="N16" s="809"/>
      <c r="O16" s="809"/>
      <c r="P16" s="5"/>
      <c r="Q16" s="5"/>
      <c r="R16" s="5"/>
      <c r="S16" s="5"/>
      <c r="T16" s="5"/>
      <c r="U16" s="5"/>
      <c r="V16" s="5"/>
      <c r="W16" s="5"/>
      <c r="X16" s="5"/>
    </row>
    <row r="17" spans="1:24" ht="16.5" customHeight="1" x14ac:dyDescent="0.2">
      <c r="A17" s="5"/>
      <c r="B17" s="226" t="s">
        <v>1050</v>
      </c>
      <c r="C17" s="5" t="s">
        <v>1225</v>
      </c>
      <c r="D17" s="5"/>
      <c r="E17" s="65"/>
      <c r="F17" s="65"/>
      <c r="G17" s="142"/>
      <c r="H17" s="212"/>
      <c r="I17" s="5"/>
      <c r="J17" s="226" t="s">
        <v>1050</v>
      </c>
      <c r="K17" s="5" t="s">
        <v>1225</v>
      </c>
      <c r="L17" s="5"/>
      <c r="M17" s="65"/>
      <c r="N17" s="65"/>
      <c r="O17" s="142"/>
      <c r="P17" s="212"/>
      <c r="Q17" s="5"/>
      <c r="R17" s="5"/>
      <c r="S17" s="5"/>
      <c r="T17" s="5"/>
      <c r="U17" s="64"/>
      <c r="V17" s="5"/>
      <c r="W17" s="5"/>
      <c r="X17" s="5"/>
    </row>
    <row r="18" spans="1:24" ht="13.5" customHeight="1" x14ac:dyDescent="0.2">
      <c r="A18" s="5"/>
      <c r="B18" s="226" t="s">
        <v>892</v>
      </c>
      <c r="C18" s="5" t="s">
        <v>1226</v>
      </c>
      <c r="D18" s="5"/>
      <c r="E18" s="5"/>
      <c r="F18" s="5"/>
      <c r="G18" s="142"/>
      <c r="H18" s="212"/>
      <c r="I18" s="5"/>
      <c r="J18" s="226" t="s">
        <v>892</v>
      </c>
      <c r="K18" s="5" t="s">
        <v>1226</v>
      </c>
      <c r="L18" s="5"/>
      <c r="M18" s="5"/>
      <c r="N18" s="5"/>
      <c r="O18" s="142"/>
      <c r="P18" s="212"/>
      <c r="Q18" s="5"/>
      <c r="R18" s="5"/>
      <c r="S18" s="5"/>
      <c r="T18" s="5"/>
      <c r="U18" s="64"/>
      <c r="V18" s="5"/>
      <c r="W18" s="5"/>
      <c r="X18" s="5"/>
    </row>
    <row r="19" spans="1:24" ht="15.75" customHeight="1" x14ac:dyDescent="0.2">
      <c r="A19" s="5"/>
      <c r="B19" s="226" t="s">
        <v>895</v>
      </c>
      <c r="C19" s="5" t="s">
        <v>896</v>
      </c>
      <c r="D19" s="5"/>
      <c r="E19" s="5"/>
      <c r="F19" s="5"/>
      <c r="G19" s="142"/>
      <c r="H19" s="212"/>
      <c r="I19" s="5"/>
      <c r="J19" s="226" t="s">
        <v>895</v>
      </c>
      <c r="K19" s="5" t="s">
        <v>896</v>
      </c>
      <c r="L19" s="5"/>
      <c r="M19" s="5"/>
      <c r="N19" s="5"/>
      <c r="O19" s="142"/>
      <c r="P19" s="212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134" t="s">
        <v>1227</v>
      </c>
      <c r="B20" s="226"/>
      <c r="C20" s="5"/>
      <c r="D20" s="5"/>
      <c r="E20" s="5"/>
      <c r="F20" s="5"/>
      <c r="G20" s="142"/>
      <c r="H20" s="212"/>
      <c r="I20" s="134" t="s">
        <v>1227</v>
      </c>
      <c r="J20" s="226"/>
      <c r="K20" s="5"/>
      <c r="L20" s="5"/>
      <c r="M20" s="5"/>
      <c r="N20" s="5"/>
      <c r="O20" s="142"/>
      <c r="P20" s="212"/>
      <c r="Q20" s="5"/>
      <c r="R20" s="5"/>
      <c r="S20" s="5"/>
      <c r="T20" s="5"/>
      <c r="U20" s="5"/>
      <c r="V20" s="5"/>
      <c r="W20" s="5"/>
      <c r="X20" s="5"/>
    </row>
    <row r="21" spans="1:24" ht="27" customHeight="1" x14ac:dyDescent="0.2">
      <c r="A21" s="5"/>
      <c r="B21" s="5"/>
      <c r="C21" s="5"/>
      <c r="D21" s="5"/>
      <c r="E21" s="5"/>
      <c r="F21" s="465" t="s">
        <v>1228</v>
      </c>
      <c r="G21" s="5"/>
      <c r="H21" s="5"/>
      <c r="I21" s="5"/>
      <c r="J21" s="5"/>
      <c r="K21" s="5"/>
      <c r="L21" s="5"/>
      <c r="M21" s="5"/>
      <c r="N21" s="483" t="s">
        <v>1229</v>
      </c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28.7" customHeight="1" x14ac:dyDescent="0.2">
      <c r="A22" s="5"/>
      <c r="B22" s="14" t="s">
        <v>447</v>
      </c>
      <c r="C22" s="5"/>
      <c r="D22" s="14" t="s">
        <v>1230</v>
      </c>
      <c r="E22" s="14" t="s">
        <v>1230</v>
      </c>
      <c r="F22" s="484" t="s">
        <v>1231</v>
      </c>
      <c r="G22" s="5"/>
      <c r="H22" s="5"/>
      <c r="I22" s="5"/>
      <c r="J22" s="5"/>
      <c r="K22" s="5"/>
      <c r="L22" s="5"/>
      <c r="M22" s="5"/>
      <c r="N22" s="485" t="s">
        <v>1231</v>
      </c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14"/>
      <c r="B23" s="14" t="s">
        <v>197</v>
      </c>
      <c r="C23" s="14" t="s">
        <v>1050</v>
      </c>
      <c r="D23" s="14" t="s">
        <v>1232</v>
      </c>
      <c r="E23" s="14" t="s">
        <v>895</v>
      </c>
      <c r="F23" s="486" t="s">
        <v>925</v>
      </c>
      <c r="G23" s="5"/>
      <c r="H23" s="5"/>
      <c r="I23" s="402"/>
      <c r="J23" s="140" t="s">
        <v>1233</v>
      </c>
      <c r="K23" s="402" t="s">
        <v>1050</v>
      </c>
      <c r="L23" s="140" t="s">
        <v>1234</v>
      </c>
      <c r="M23" s="140" t="s">
        <v>1121</v>
      </c>
      <c r="N23" s="140" t="s">
        <v>926</v>
      </c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23.45" customHeight="1" x14ac:dyDescent="0.25">
      <c r="A24" s="218" t="s">
        <v>1235</v>
      </c>
      <c r="B24" s="487">
        <v>0</v>
      </c>
      <c r="C24" s="219">
        <v>0</v>
      </c>
      <c r="D24" s="488">
        <f>'Design Conditions'!G13</f>
        <v>0.15</v>
      </c>
      <c r="E24" s="489">
        <f>'Design Conditions'!J23</f>
        <v>5.0000000000000001E-3</v>
      </c>
      <c r="F24" s="490">
        <f>D24*0.1+E24*0.1+B24*9.8/(PI()*$B$13^2*1000000/4)+C24*0.1</f>
        <v>1.55E-2</v>
      </c>
      <c r="G24" s="212"/>
      <c r="H24" s="212"/>
      <c r="I24" s="491" t="s">
        <v>1235</v>
      </c>
      <c r="J24" s="492">
        <f>B24*2.205</f>
        <v>0</v>
      </c>
      <c r="K24" s="148">
        <v>0</v>
      </c>
      <c r="L24" s="430">
        <f t="shared" ref="L24:M28" si="0">D24*14.504</f>
        <v>2.1755999999999998</v>
      </c>
      <c r="M24" s="430">
        <f t="shared" si="0"/>
        <v>7.2520000000000001E-2</v>
      </c>
      <c r="N24" s="493">
        <f>F24*145.04</f>
        <v>2.2481199999999997</v>
      </c>
      <c r="O24" s="212"/>
      <c r="P24" s="212"/>
      <c r="Q24" s="5"/>
      <c r="R24" s="5"/>
      <c r="S24" s="1001" t="s">
        <v>1236</v>
      </c>
      <c r="T24" s="809"/>
      <c r="U24" s="809"/>
      <c r="V24" s="809"/>
      <c r="W24" s="5"/>
      <c r="X24" s="5"/>
    </row>
    <row r="25" spans="1:24" ht="27" customHeight="1" x14ac:dyDescent="0.25">
      <c r="A25" s="73" t="s">
        <v>1237</v>
      </c>
      <c r="B25" s="487">
        <f>-('Weight Calculations'!H71+'Thermal calculation 2'!K82)</f>
        <v>-80084.941287362512</v>
      </c>
      <c r="C25" s="219">
        <v>0</v>
      </c>
      <c r="D25" s="494">
        <f>-'Design Conditions'!G23</f>
        <v>-0.01</v>
      </c>
      <c r="E25" s="489">
        <f>+'Design Conditions'!J16</f>
        <v>8.0000000000000002E-3</v>
      </c>
      <c r="F25" s="490">
        <f>D25*0.1+E25*0.1+B25*9.8/(PI()*$B$13^2*1000000/4)+C25*0.1</f>
        <v>-2.5547923437922141E-3</v>
      </c>
      <c r="G25" s="5"/>
      <c r="H25" s="5"/>
      <c r="I25" s="495" t="s">
        <v>1237</v>
      </c>
      <c r="J25" s="496">
        <f>B25*2.205</f>
        <v>-176587.29553863435</v>
      </c>
      <c r="K25" s="497">
        <v>0</v>
      </c>
      <c r="L25" s="498">
        <f t="shared" si="0"/>
        <v>-0.14504</v>
      </c>
      <c r="M25" s="498">
        <f t="shared" si="0"/>
        <v>0.116032</v>
      </c>
      <c r="N25" s="493">
        <f>F25*145.04</f>
        <v>-0.3705470815436227</v>
      </c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218" t="s">
        <v>1238</v>
      </c>
      <c r="B26" s="487">
        <f>-('Weight Calculations'!H71+'Thermal calculation 2'!K82)</f>
        <v>-80084.941287362512</v>
      </c>
      <c r="C26" s="219">
        <v>0</v>
      </c>
      <c r="D26" s="488">
        <f>'Design Conditions'!G25</f>
        <v>0.1875</v>
      </c>
      <c r="E26" s="489">
        <f>'Design Conditions'!J23</f>
        <v>5.0000000000000001E-3</v>
      </c>
      <c r="F26" s="490">
        <f>D26*0.1+E26*0.1+B26*9.8/(PI()*$B$13^2*1000000/4)+C26*0.1</f>
        <v>1.6895207656207788E-2</v>
      </c>
      <c r="G26" s="5"/>
      <c r="H26" s="5"/>
      <c r="I26" s="495" t="s">
        <v>1238</v>
      </c>
      <c r="J26" s="492">
        <f>B26*2.205</f>
        <v>-176587.29553863435</v>
      </c>
      <c r="K26" s="148">
        <v>0</v>
      </c>
      <c r="L26" s="430">
        <f t="shared" si="0"/>
        <v>2.7195</v>
      </c>
      <c r="M26" s="430">
        <f t="shared" si="0"/>
        <v>7.2520000000000001E-2</v>
      </c>
      <c r="N26" s="493">
        <f>F26*145.04</f>
        <v>2.4504809184563774</v>
      </c>
      <c r="O26" s="5"/>
      <c r="P26" s="5"/>
      <c r="Q26" s="5"/>
      <c r="R26" s="64" t="s">
        <v>1239</v>
      </c>
      <c r="S26" s="341" t="s">
        <v>1240</v>
      </c>
      <c r="T26" s="248">
        <f>+E24</f>
        <v>5.0000000000000001E-3</v>
      </c>
      <c r="U26" s="143" t="s">
        <v>1241</v>
      </c>
      <c r="V26" s="41"/>
      <c r="W26" s="42"/>
      <c r="X26" s="5"/>
    </row>
    <row r="27" spans="1:24" ht="28.5" customHeight="1" x14ac:dyDescent="0.25">
      <c r="A27" s="218" t="s">
        <v>1242</v>
      </c>
      <c r="B27" s="487">
        <f>-'Weight Calculations'!H71</f>
        <v>-37483.613497718368</v>
      </c>
      <c r="C27" s="219">
        <v>0</v>
      </c>
      <c r="D27" s="488">
        <f>'Design Conditions'!G25</f>
        <v>0.1875</v>
      </c>
      <c r="E27" s="489">
        <f>'Design Conditions'!J23</f>
        <v>5.0000000000000001E-3</v>
      </c>
      <c r="F27" s="490">
        <f>D27*0.1+E27*0.1+B27*9.8/(PI()*$B$13^2*1000000/4)+C27*0.1</f>
        <v>1.8147843656207786E-2</v>
      </c>
      <c r="G27" s="5"/>
      <c r="H27" s="5"/>
      <c r="I27" s="495" t="s">
        <v>1242</v>
      </c>
      <c r="J27" s="492">
        <f>B27*2.205</f>
        <v>-82651.367762469003</v>
      </c>
      <c r="K27" s="148">
        <v>0</v>
      </c>
      <c r="L27" s="430">
        <f t="shared" si="0"/>
        <v>2.7195</v>
      </c>
      <c r="M27" s="430">
        <f t="shared" si="0"/>
        <v>7.2520000000000001E-2</v>
      </c>
      <c r="N27" s="493">
        <f>F27*145.04</f>
        <v>2.6321632438963771</v>
      </c>
      <c r="O27" s="5"/>
      <c r="P27" s="5"/>
      <c r="Q27" s="5"/>
      <c r="R27" s="5"/>
      <c r="S27" s="332"/>
      <c r="T27" s="5"/>
      <c r="U27" s="150" t="s">
        <v>1243</v>
      </c>
      <c r="V27" s="5"/>
      <c r="W27" s="103"/>
      <c r="X27" s="5"/>
    </row>
    <row r="28" spans="1:24" ht="39" customHeight="1" x14ac:dyDescent="0.25">
      <c r="A28" s="499" t="s">
        <v>1244</v>
      </c>
      <c r="B28" s="500">
        <f>+B27</f>
        <v>-37483.613497718368</v>
      </c>
      <c r="C28" s="219">
        <v>0</v>
      </c>
      <c r="D28" s="494">
        <f>-'Design Conditions'!G23</f>
        <v>-0.01</v>
      </c>
      <c r="E28" s="489">
        <f>-('Design Conditions'!G20+'Design Conditions'!J23)</f>
        <v>-2.8900000000000002E-2</v>
      </c>
      <c r="F28" s="490">
        <f>D28*0.1+E28*0.1+B28*9.8/(PI()*$B$13^2*1000000/4)+C28*0.1</f>
        <v>-4.9921563437922162E-3</v>
      </c>
      <c r="G28" s="5"/>
      <c r="H28" s="5"/>
      <c r="I28" s="495" t="s">
        <v>1245</v>
      </c>
      <c r="J28" s="492">
        <f>B28*2.205</f>
        <v>-82651.367762469003</v>
      </c>
      <c r="K28" s="148">
        <v>0</v>
      </c>
      <c r="L28" s="430">
        <f t="shared" si="0"/>
        <v>-0.14504</v>
      </c>
      <c r="M28" s="430">
        <f t="shared" si="0"/>
        <v>-0.41916560000000003</v>
      </c>
      <c r="N28" s="493">
        <f>F28*145.04</f>
        <v>-0.72406235610362302</v>
      </c>
      <c r="O28" s="5"/>
      <c r="P28" s="5"/>
      <c r="Q28" s="5"/>
      <c r="R28" s="5"/>
      <c r="S28" s="5"/>
      <c r="T28" s="5"/>
      <c r="U28" s="150" t="s">
        <v>1246</v>
      </c>
      <c r="V28" s="5"/>
      <c r="W28" s="103"/>
      <c r="X28" s="5"/>
    </row>
    <row r="29" spans="1:24" ht="25.5" customHeight="1" x14ac:dyDescent="0.2">
      <c r="A29" s="14"/>
      <c r="B29" s="218" t="s">
        <v>254</v>
      </c>
      <c r="C29" s="14" t="s">
        <v>1247</v>
      </c>
      <c r="D29" s="5"/>
      <c r="E29" s="5"/>
      <c r="F29" s="5"/>
      <c r="G29" s="5"/>
      <c r="H29" s="5"/>
      <c r="I29" s="14"/>
      <c r="J29" s="501" t="s">
        <v>254</v>
      </c>
      <c r="K29" s="502" t="s">
        <v>1247</v>
      </c>
      <c r="L29" s="5"/>
      <c r="M29" s="5"/>
      <c r="N29" s="5"/>
      <c r="O29" s="5"/>
      <c r="P29" s="5"/>
      <c r="Q29" s="5"/>
      <c r="R29" s="341" t="s">
        <v>1248</v>
      </c>
      <c r="S29" s="503">
        <f>+D24</f>
        <v>0.15</v>
      </c>
      <c r="T29" s="5"/>
      <c r="U29" s="171" t="s">
        <v>1249</v>
      </c>
      <c r="V29" s="26"/>
      <c r="W29" s="198"/>
      <c r="X29" s="5"/>
    </row>
    <row r="30" spans="1:24" ht="25.5" customHeight="1" x14ac:dyDescent="0.2">
      <c r="A30" s="14"/>
      <c r="B30" s="218" t="s">
        <v>920</v>
      </c>
      <c r="C30" s="14" t="s">
        <v>1250</v>
      </c>
      <c r="D30" s="5"/>
      <c r="E30" s="5"/>
      <c r="F30" s="5"/>
      <c r="G30" s="5"/>
      <c r="H30" s="5"/>
      <c r="I30" s="14"/>
      <c r="J30" s="504" t="s">
        <v>920</v>
      </c>
      <c r="K30" s="115" t="s">
        <v>1250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">
      <c r="A31" s="5"/>
      <c r="B31" s="14" t="s">
        <v>247</v>
      </c>
      <c r="C31" s="14" t="s">
        <v>247</v>
      </c>
      <c r="D31" s="14" t="s">
        <v>946</v>
      </c>
      <c r="E31" s="5"/>
      <c r="F31" s="5"/>
      <c r="G31" s="5"/>
      <c r="H31" s="5"/>
      <c r="I31" s="5"/>
      <c r="J31" s="505" t="s">
        <v>248</v>
      </c>
      <c r="K31" s="506" t="s">
        <v>248</v>
      </c>
      <c r="L31" s="402" t="s">
        <v>946</v>
      </c>
      <c r="M31" s="5"/>
      <c r="N31" s="5"/>
      <c r="O31" s="5"/>
      <c r="P31" s="5"/>
      <c r="Q31" s="5"/>
      <c r="R31" s="341" t="s">
        <v>702</v>
      </c>
      <c r="S31" s="507">
        <f>+B25</f>
        <v>-80084.941287362512</v>
      </c>
      <c r="T31" s="5"/>
      <c r="U31" s="143" t="s">
        <v>1251</v>
      </c>
      <c r="V31" s="41"/>
      <c r="W31" s="42"/>
      <c r="X31" s="5"/>
    </row>
    <row r="32" spans="1:24" ht="27.75" customHeight="1" x14ac:dyDescent="0.2">
      <c r="A32" s="218" t="str">
        <f>A24</f>
        <v>Internal Pressure</v>
      </c>
      <c r="B32" s="399">
        <f>'Main Dimensions Calcs'!$D$56</f>
        <v>12</v>
      </c>
      <c r="C32" s="417">
        <f>IF(((B51&gt;0)*AND(C51&gt;0)),MAX(B51:C51)*0.001/$B$102,IF(B51=C51,-(B51*0.001)/$F$92,IF((B51&lt;0)*AND(B51&lt;0),-0.001*MAX(MAX(B51:C51)+MIN(B51:C51)*0.8,MAX(B51:C51)*1.8)/$F$98,"Atencion, combiancion no comtemplada")))</f>
        <v>2.56928</v>
      </c>
      <c r="D32" s="417">
        <f>B32/C32</f>
        <v>4.6705691866982191</v>
      </c>
      <c r="E32" s="264" t="str">
        <f>IF(B32&gt;0,IF(D32&gt;1,"OK","ERROR"),"N/A")</f>
        <v>OK</v>
      </c>
      <c r="F32" s="5"/>
      <c r="G32" s="5"/>
      <c r="H32" s="5"/>
      <c r="I32" s="508" t="str">
        <f>I24</f>
        <v>Internal Pressure</v>
      </c>
      <c r="J32" s="509">
        <f t="shared" ref="J32:K36" si="1">B32/25.4</f>
        <v>0.47244094488188981</v>
      </c>
      <c r="K32" s="407">
        <f t="shared" si="1"/>
        <v>0.10115275590551182</v>
      </c>
      <c r="L32" s="437">
        <f>J32/K32</f>
        <v>4.6705691866982191</v>
      </c>
      <c r="M32" s="510" t="str">
        <f>IF(J32&gt;0,IF(L32&gt;1,"OK","ERROR"),"N/A")</f>
        <v>OK</v>
      </c>
      <c r="N32" s="5"/>
      <c r="O32" s="5"/>
      <c r="P32" s="5"/>
      <c r="Q32" s="5"/>
      <c r="R32" s="5"/>
      <c r="S32" s="5"/>
      <c r="T32" s="5"/>
      <c r="U32" s="150" t="s">
        <v>1252</v>
      </c>
      <c r="V32" s="5"/>
      <c r="W32" s="103"/>
      <c r="X32" s="5"/>
    </row>
    <row r="33" spans="1:24" ht="25.5" customHeight="1" x14ac:dyDescent="0.2">
      <c r="A33" s="218" t="str">
        <f>A25</f>
        <v>External Pressure only</v>
      </c>
      <c r="B33" s="399">
        <f>'Main Dimensions Calcs'!$D$56</f>
        <v>12</v>
      </c>
      <c r="C33" s="417">
        <f>IF(((B52&gt;0)*AND(C52&gt;0)),MAX(B52:C52)*0.001/$B$102,IF(B52=C52,-(B52*0.001)/$F$92,IF((B52&lt;0)*AND(B52&lt;0),-0.001*MAX(MAX(B52:C52)+MIN(B52:C52)*0.8,MAX(B52:C52)*1.8)/$F$98,"Atencion, combiancion no comtemplada")))</f>
        <v>4.9985067595934636</v>
      </c>
      <c r="D33" s="417">
        <f>B33/C33</f>
        <v>2.4007169695167079</v>
      </c>
      <c r="E33" s="264" t="str">
        <f>IF(B33&gt;0,IF(D33&gt;1,"OK","ERROR"),"N/A")</f>
        <v>OK</v>
      </c>
      <c r="F33" s="5"/>
      <c r="G33" s="5"/>
      <c r="H33" s="5"/>
      <c r="I33" s="511" t="str">
        <f>I25</f>
        <v>External Pressure only</v>
      </c>
      <c r="J33" s="509">
        <f t="shared" si="1"/>
        <v>0.47244094488188981</v>
      </c>
      <c r="K33" s="407">
        <f t="shared" si="1"/>
        <v>0.19679160470840409</v>
      </c>
      <c r="L33" s="437">
        <f>J33/K33</f>
        <v>2.4007169695167079</v>
      </c>
      <c r="M33" s="510" t="str">
        <f>IF(J33&gt;0,IF(L33&gt;1,"OK","ERROR"),"N/A")</f>
        <v>OK</v>
      </c>
      <c r="N33" s="5"/>
      <c r="O33" s="5"/>
      <c r="P33" s="5"/>
      <c r="Q33" s="5"/>
      <c r="R33" s="5"/>
      <c r="S33" s="5"/>
      <c r="T33" s="5"/>
      <c r="U33" s="150" t="s">
        <v>1253</v>
      </c>
      <c r="V33" s="5"/>
      <c r="W33" s="103"/>
      <c r="X33" s="5"/>
    </row>
    <row r="34" spans="1:24" x14ac:dyDescent="0.2">
      <c r="A34" s="218" t="str">
        <f>A26</f>
        <v>Test</v>
      </c>
      <c r="B34" s="399">
        <f>'Main Dimensions Calcs'!$D$56</f>
        <v>12</v>
      </c>
      <c r="C34" s="417">
        <f>IF(((B53&gt;0)*AND(C53&gt;0)),MAX(B53:C53)*0.001/$B$102,IF(B53=C53,-(B53*0.001)/$F$92,IF((B53&lt;0)*AND(B53&lt;0),-0.001*MAX(MAX(B53:C53)+MIN(B53:C53)*0.8,MAX(B53:C53)*1.8)/$F$98,"Atencion, combiancion no comtemplada")))</f>
        <v>2.800549621093003</v>
      </c>
      <c r="D34" s="417">
        <f>B34/MAX(C34,I53)</f>
        <v>4.2848731940398972</v>
      </c>
      <c r="E34" s="264" t="str">
        <f>IF(B34&gt;0,IF(D34&gt;1,"OK","ERROR"),"N/A")</f>
        <v>OK</v>
      </c>
      <c r="F34" s="5"/>
      <c r="G34" s="5"/>
      <c r="H34" s="5"/>
      <c r="I34" s="508" t="str">
        <f>I26</f>
        <v>Test</v>
      </c>
      <c r="J34" s="509">
        <f t="shared" si="1"/>
        <v>0.47244094488188981</v>
      </c>
      <c r="K34" s="407">
        <f t="shared" si="1"/>
        <v>0.11025785909814972</v>
      </c>
      <c r="L34" s="437">
        <f>J34/MAX(K34,Q53)</f>
        <v>4.2848731940398981</v>
      </c>
      <c r="M34" s="510" t="str">
        <f>IF(J34&gt;0,IF(L34&gt;1,"OK","ERROR"),"N/A")</f>
        <v>OK</v>
      </c>
      <c r="N34" s="5"/>
      <c r="O34" s="5"/>
      <c r="P34" s="5"/>
      <c r="Q34" s="5"/>
      <c r="R34" s="341" t="s">
        <v>1248</v>
      </c>
      <c r="S34" s="503">
        <f>+D25</f>
        <v>-0.01</v>
      </c>
      <c r="T34" s="5"/>
      <c r="U34" s="171" t="s">
        <v>1254</v>
      </c>
      <c r="V34" s="26"/>
      <c r="W34" s="198"/>
      <c r="X34" s="5"/>
    </row>
    <row r="35" spans="1:24" ht="30.6" customHeight="1" x14ac:dyDescent="0.2">
      <c r="A35" s="242" t="str">
        <f>A27</f>
        <v>Test whithout Perlite</v>
      </c>
      <c r="B35" s="399">
        <f>'Main Dimensions Calcs'!$D$56</f>
        <v>12</v>
      </c>
      <c r="C35" s="282">
        <f>IF(((B54&gt;0)*AND(C54&gt;0)),MAX(B54:C54)*0.001/$B$102,IF(B54=C54,-(B54*0.001)/$F$92,IF((B54&lt;0)*AND(B54&lt;0),-0.001*MAX(MAX(B54:C54)+MIN(B54:C54)*0.8,MAX(B54:C54)*1.8)/$F$98,"Atencion, combiancion no comtemplada")))</f>
        <v>3.0081865644530028</v>
      </c>
      <c r="D35" s="282">
        <f>B35/MAX(C35,I54)</f>
        <v>3.9891142862617079</v>
      </c>
      <c r="E35" s="469" t="str">
        <f>IF(B35&gt;0,IF(D35&gt;1,"OK","ERROR"),"N/A")</f>
        <v>OK</v>
      </c>
      <c r="F35" s="5"/>
      <c r="G35" s="5"/>
      <c r="H35" s="5"/>
      <c r="I35" s="512" t="str">
        <f>I27</f>
        <v>Test whithout Perlite</v>
      </c>
      <c r="J35" s="509">
        <f t="shared" si="1"/>
        <v>0.47244094488188981</v>
      </c>
      <c r="K35" s="407">
        <f t="shared" si="1"/>
        <v>0.11843254190759854</v>
      </c>
      <c r="L35" s="468">
        <f>J35/MAX(K35,Q54)</f>
        <v>3.9891142862617084</v>
      </c>
      <c r="M35" s="513" t="str">
        <f>IF(J35&gt;0,IF(L35&gt;1,"OK","ERROR"),"N/A")</f>
        <v>OK</v>
      </c>
      <c r="N35" s="5"/>
      <c r="O35" s="5"/>
      <c r="P35" s="5"/>
      <c r="Q35" s="5"/>
      <c r="R35" s="341" t="s">
        <v>1240</v>
      </c>
      <c r="S35" s="248">
        <f>+E25</f>
        <v>8.0000000000000002E-3</v>
      </c>
      <c r="T35" s="5"/>
      <c r="U35" s="5"/>
      <c r="V35" s="5"/>
      <c r="W35" s="5"/>
      <c r="X35" s="5"/>
    </row>
    <row r="36" spans="1:24" ht="51" customHeight="1" x14ac:dyDescent="0.2">
      <c r="A36" s="242" t="str">
        <f>A28</f>
        <v>External Pressure + insulation+ design purge</v>
      </c>
      <c r="B36" s="399">
        <f>'Main Dimensions Calcs'!$D$56</f>
        <v>12</v>
      </c>
      <c r="C36" s="282">
        <f>IF(((B55&gt;0)*AND(C55&gt;0)),MAX(B55:C55)*0.001/$B$102,IF(B55=C55,-(B55*0.001)/$F$92,IF((B55&lt;0)*AND(B55&lt;0),-0.001*MAX(MAX(B55:C55)+MIN(B55:C55)*0.8,MAX(B55:C55)*1.8)/$F$98,"Atencion, combiancion no comtemplada")))</f>
        <v>9.7672624117673799</v>
      </c>
      <c r="D36" s="282">
        <f>B36/MAX(C36,I55)</f>
        <v>1.2285940004583749</v>
      </c>
      <c r="E36" s="469" t="str">
        <f>IF(B36&gt;0,IF(D36&gt;1,"OK","ERROR"),"N/A")</f>
        <v>OK</v>
      </c>
      <c r="F36" s="5"/>
      <c r="G36" s="5"/>
      <c r="H36" s="5"/>
      <c r="I36" s="512" t="str">
        <f>I28</f>
        <v>External Pressure + Insulation+ Design Purge</v>
      </c>
      <c r="J36" s="509">
        <f t="shared" si="1"/>
        <v>0.47244094488188981</v>
      </c>
      <c r="K36" s="407">
        <f t="shared" si="1"/>
        <v>0.3845378902270622</v>
      </c>
      <c r="L36" s="468">
        <f>J36/MAX(K36,Q55)</f>
        <v>1.2285940004583751</v>
      </c>
      <c r="M36" s="513" t="str">
        <f>IF(J36&gt;0,IF(L36&gt;1,"OK","ERROR"),"N/A")</f>
        <v>OK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5"/>
      <c r="B37" s="5"/>
      <c r="C37" s="28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341" t="s">
        <v>702</v>
      </c>
      <c r="S37" s="507">
        <f>+B26</f>
        <v>-80084.941287362512</v>
      </c>
      <c r="T37" s="5"/>
      <c r="U37" s="143" t="s">
        <v>1238</v>
      </c>
      <c r="V37" s="41"/>
      <c r="W37" s="5"/>
      <c r="X37" s="5"/>
    </row>
    <row r="38" spans="1:24" ht="13.5" customHeight="1" thickBo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341" t="s">
        <v>1240</v>
      </c>
      <c r="T38" s="248">
        <f>+E26</f>
        <v>5.0000000000000001E-3</v>
      </c>
      <c r="U38" s="150" t="s">
        <v>1252</v>
      </c>
      <c r="V38" s="5"/>
      <c r="W38" s="5"/>
      <c r="X38" s="5"/>
    </row>
    <row r="39" spans="1:24" ht="17.25" customHeight="1" thickTop="1" thickBot="1" x14ac:dyDescent="0.3">
      <c r="A39" s="28"/>
      <c r="B39" s="4"/>
      <c r="C39" s="408"/>
      <c r="D39" s="934" t="str">
        <f>'Front Page'!$A$13</f>
        <v>Mechanical  Calculations</v>
      </c>
      <c r="E39" s="842"/>
      <c r="F39" s="842"/>
      <c r="G39" s="842"/>
      <c r="H39" s="859"/>
      <c r="I39" s="28"/>
      <c r="J39" s="4"/>
      <c r="K39" s="408"/>
      <c r="L39" s="934" t="str">
        <f>'Front Page'!$A$13</f>
        <v>Mechanical  Calculations</v>
      </c>
      <c r="M39" s="842"/>
      <c r="N39" s="842"/>
      <c r="O39" s="842"/>
      <c r="P39" s="859"/>
      <c r="Q39" s="5"/>
      <c r="R39" s="5"/>
      <c r="S39" s="5"/>
      <c r="T39" s="5"/>
      <c r="U39" s="150" t="s">
        <v>1255</v>
      </c>
      <c r="V39" s="5"/>
      <c r="W39" s="5"/>
      <c r="X39" s="5"/>
    </row>
    <row r="40" spans="1:24" ht="16.5" customHeight="1" thickBot="1" x14ac:dyDescent="0.3">
      <c r="A40" s="6"/>
      <c r="B40" s="5"/>
      <c r="C40" s="14"/>
      <c r="D40" s="984">
        <f>'Front Page'!$A$21</f>
        <v>0</v>
      </c>
      <c r="E40" s="831"/>
      <c r="F40" s="831"/>
      <c r="G40" s="831"/>
      <c r="H40" s="854"/>
      <c r="I40" s="6"/>
      <c r="J40" s="5"/>
      <c r="K40" s="14"/>
      <c r="L40" s="984">
        <f>'Front Page'!$A$21</f>
        <v>0</v>
      </c>
      <c r="M40" s="831"/>
      <c r="N40" s="831"/>
      <c r="O40" s="831"/>
      <c r="P40" s="854"/>
      <c r="Q40" s="5"/>
      <c r="R40" s="341" t="s">
        <v>1248</v>
      </c>
      <c r="S40" s="503">
        <f>+D26</f>
        <v>0.1875</v>
      </c>
      <c r="T40" s="5"/>
      <c r="U40" s="171" t="s">
        <v>1249</v>
      </c>
      <c r="V40" s="26"/>
      <c r="W40" s="5"/>
      <c r="X40" s="5"/>
    </row>
    <row r="41" spans="1:24" ht="16.5" customHeight="1" thickBot="1" x14ac:dyDescent="0.3">
      <c r="A41" s="8"/>
      <c r="B41" s="9"/>
      <c r="C41" s="409"/>
      <c r="D41" s="985" t="s">
        <v>1214</v>
      </c>
      <c r="E41" s="834"/>
      <c r="F41" s="834"/>
      <c r="G41" s="834"/>
      <c r="H41" s="986"/>
      <c r="I41" s="8"/>
      <c r="J41" s="9"/>
      <c r="K41" s="409"/>
      <c r="L41" s="985" t="s">
        <v>1214</v>
      </c>
      <c r="M41" s="834"/>
      <c r="N41" s="834"/>
      <c r="O41" s="834"/>
      <c r="P41" s="986"/>
      <c r="Q41" s="5"/>
      <c r="R41" s="5"/>
      <c r="S41" s="5"/>
      <c r="T41" s="5"/>
      <c r="U41" s="5"/>
      <c r="V41" s="5"/>
      <c r="W41" s="5"/>
      <c r="X41" s="5"/>
    </row>
    <row r="42" spans="1:24" ht="16.5" customHeight="1" thickTop="1" thickBot="1" x14ac:dyDescent="0.3">
      <c r="A42" s="873"/>
      <c r="B42" s="848"/>
      <c r="C42" s="865"/>
      <c r="D42" s="385" t="str">
        <f>'Front Page'!$D$4</f>
        <v>Doc Nº</v>
      </c>
      <c r="E42" s="980"/>
      <c r="F42" s="843"/>
      <c r="G42" s="980"/>
      <c r="H42" s="843"/>
      <c r="I42" s="873"/>
      <c r="J42" s="848"/>
      <c r="K42" s="865"/>
      <c r="L42" s="385" t="str">
        <f>'Front Page'!$D$4</f>
        <v>Doc Nº</v>
      </c>
      <c r="M42" s="980"/>
      <c r="N42" s="843"/>
      <c r="O42" s="980"/>
      <c r="P42" s="843"/>
      <c r="Q42" s="5"/>
      <c r="R42" s="5"/>
      <c r="S42" s="5"/>
      <c r="T42" s="5"/>
      <c r="U42" s="5"/>
      <c r="V42" s="5"/>
      <c r="W42" s="5"/>
      <c r="X42" s="5"/>
    </row>
    <row r="43" spans="1:24" ht="15.75" customHeight="1" thickBot="1" x14ac:dyDescent="0.3">
      <c r="A43" s="860"/>
      <c r="B43" s="851"/>
      <c r="C43" s="861"/>
      <c r="D43" s="386" t="str">
        <f>'Front Page'!$D$5</f>
        <v>Project</v>
      </c>
      <c r="E43" s="899"/>
      <c r="F43" s="835"/>
      <c r="G43" s="131" t="s">
        <v>5</v>
      </c>
      <c r="H43" s="132"/>
      <c r="I43" s="860"/>
      <c r="J43" s="851"/>
      <c r="K43" s="861"/>
      <c r="L43" s="386" t="str">
        <f>'Front Page'!$D$5</f>
        <v>Project</v>
      </c>
      <c r="M43" s="899"/>
      <c r="N43" s="835"/>
      <c r="O43" s="131" t="s">
        <v>5</v>
      </c>
      <c r="P43" s="427"/>
      <c r="Q43" s="5"/>
      <c r="R43" s="341" t="s">
        <v>702</v>
      </c>
      <c r="S43" s="507">
        <f>+B27</f>
        <v>-37483.613497718368</v>
      </c>
      <c r="T43" s="5"/>
      <c r="U43" s="143" t="s">
        <v>1256</v>
      </c>
      <c r="V43" s="41"/>
      <c r="W43" s="5"/>
      <c r="X43" s="5"/>
    </row>
    <row r="44" spans="1:24" ht="13.5" customHeight="1" thickTop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5"/>
      <c r="R44" s="5"/>
      <c r="S44" s="5"/>
      <c r="T44" s="5"/>
      <c r="U44" s="150" t="s">
        <v>1257</v>
      </c>
      <c r="V44" s="5"/>
      <c r="W44" s="5"/>
      <c r="X44" s="5"/>
    </row>
    <row r="45" spans="1:2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150" t="s">
        <v>1255</v>
      </c>
      <c r="V45" s="5"/>
      <c r="W45" s="5"/>
      <c r="X45" s="5"/>
    </row>
    <row r="46" spans="1:24" ht="17.25" customHeight="1" x14ac:dyDescent="0.2">
      <c r="A46" s="976" t="s">
        <v>1258</v>
      </c>
      <c r="B46" s="809"/>
      <c r="C46" s="809"/>
      <c r="D46" s="809"/>
      <c r="E46" s="809"/>
      <c r="F46" s="809"/>
      <c r="G46" s="809"/>
      <c r="H46" s="5"/>
      <c r="I46" s="976" t="s">
        <v>1258</v>
      </c>
      <c r="J46" s="809"/>
      <c r="K46" s="809"/>
      <c r="L46" s="809"/>
      <c r="M46" s="809"/>
      <c r="N46" s="809"/>
      <c r="O46" s="809"/>
      <c r="P46" s="809"/>
      <c r="Q46" s="5"/>
      <c r="R46" s="5"/>
      <c r="S46" s="341" t="s">
        <v>1240</v>
      </c>
      <c r="T46" s="248">
        <f>+E27</f>
        <v>5.0000000000000001E-3</v>
      </c>
      <c r="U46" s="171" t="s">
        <v>1249</v>
      </c>
      <c r="V46" s="26"/>
      <c r="W46" s="5"/>
      <c r="X46" s="5"/>
    </row>
    <row r="47" spans="1:24" ht="18" customHeight="1" x14ac:dyDescent="0.25">
      <c r="A47" s="809"/>
      <c r="B47" s="809"/>
      <c r="C47" s="809"/>
      <c r="D47" s="809"/>
      <c r="E47" s="809"/>
      <c r="F47" s="809"/>
      <c r="G47" s="809"/>
      <c r="H47" s="303"/>
      <c r="I47" s="809"/>
      <c r="J47" s="809"/>
      <c r="K47" s="809"/>
      <c r="L47" s="809"/>
      <c r="M47" s="809"/>
      <c r="N47" s="809"/>
      <c r="O47" s="809"/>
      <c r="P47" s="809"/>
      <c r="Q47" s="5"/>
      <c r="R47" s="341" t="s">
        <v>1248</v>
      </c>
      <c r="S47" s="503">
        <f>+D27</f>
        <v>0.1875</v>
      </c>
      <c r="T47" s="5"/>
      <c r="U47" s="5"/>
      <c r="V47" s="5"/>
      <c r="W47" s="5"/>
      <c r="X47" s="5"/>
    </row>
    <row r="48" spans="1:24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8" customHeight="1" x14ac:dyDescent="0.2">
      <c r="A49" s="14"/>
      <c r="B49" s="14" t="s">
        <v>932</v>
      </c>
      <c r="C49" s="14" t="s">
        <v>933</v>
      </c>
      <c r="D49" s="14" t="s">
        <v>936</v>
      </c>
      <c r="E49" s="14" t="s">
        <v>1259</v>
      </c>
      <c r="F49" s="5"/>
      <c r="G49" s="5"/>
      <c r="H49" s="5"/>
      <c r="I49" s="14"/>
      <c r="J49" s="140" t="s">
        <v>1002</v>
      </c>
      <c r="K49" s="140" t="s">
        <v>1003</v>
      </c>
      <c r="L49" s="140" t="s">
        <v>1030</v>
      </c>
      <c r="M49" s="140" t="s">
        <v>1260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">
      <c r="A50" s="5"/>
      <c r="B50" s="14" t="s">
        <v>940</v>
      </c>
      <c r="C50" s="14" t="s">
        <v>940</v>
      </c>
      <c r="D50" s="14" t="s">
        <v>941</v>
      </c>
      <c r="E50" s="14" t="s">
        <v>941</v>
      </c>
      <c r="F50" s="5"/>
      <c r="G50" s="5"/>
      <c r="H50" s="5"/>
      <c r="I50" s="5"/>
      <c r="J50" s="140" t="s">
        <v>1261</v>
      </c>
      <c r="K50" s="140" t="s">
        <v>1261</v>
      </c>
      <c r="L50" s="140" t="s">
        <v>926</v>
      </c>
      <c r="M50" s="140" t="s">
        <v>926</v>
      </c>
      <c r="N50" s="5"/>
      <c r="O50" s="5"/>
      <c r="P50" s="5"/>
      <c r="Q50" s="5"/>
      <c r="R50" s="341" t="s">
        <v>702</v>
      </c>
      <c r="S50" s="507">
        <f>+B28</f>
        <v>-37483.613497718368</v>
      </c>
      <c r="T50" s="5"/>
      <c r="U50" s="143" t="s">
        <v>1245</v>
      </c>
      <c r="V50" s="41"/>
      <c r="W50" s="5"/>
      <c r="X50" s="5"/>
    </row>
    <row r="51" spans="1:24" ht="26.25" customHeight="1" x14ac:dyDescent="0.2">
      <c r="A51" s="218" t="str">
        <f>A24</f>
        <v>Internal Pressure</v>
      </c>
      <c r="B51" s="263">
        <f>$B$12/2*(F24*1000000)</f>
        <v>139500</v>
      </c>
      <c r="C51" s="263">
        <f>F24*$B$12*1000000-B51</f>
        <v>139500</v>
      </c>
      <c r="D51" s="418">
        <f>B51*0.001/($B$32)</f>
        <v>11.625</v>
      </c>
      <c r="E51" s="418">
        <f>C51/$B$32/1000</f>
        <v>11.625</v>
      </c>
      <c r="F51" s="5"/>
      <c r="G51" s="5"/>
      <c r="H51" s="5"/>
      <c r="I51" s="508" t="str">
        <f>I24</f>
        <v>Internal Pressure</v>
      </c>
      <c r="J51" s="514">
        <f t="shared" ref="J51:K55" si="2">B51*0.00571</f>
        <v>796.54499999999996</v>
      </c>
      <c r="K51" s="514">
        <f t="shared" si="2"/>
        <v>796.54499999999996</v>
      </c>
      <c r="L51" s="515">
        <f t="shared" ref="L51:M55" si="3">D51*145.04</f>
        <v>1686.09</v>
      </c>
      <c r="M51" s="515">
        <f t="shared" si="3"/>
        <v>1686.09</v>
      </c>
      <c r="N51" s="5"/>
      <c r="O51" s="5"/>
      <c r="P51" s="5"/>
      <c r="Q51" s="5"/>
      <c r="R51" s="5"/>
      <c r="S51" s="5"/>
      <c r="T51" s="5"/>
      <c r="U51" s="150" t="s">
        <v>1257</v>
      </c>
      <c r="V51" s="5"/>
      <c r="W51" s="5"/>
      <c r="X51" s="5"/>
    </row>
    <row r="52" spans="1:24" ht="25.5" customHeight="1" x14ac:dyDescent="0.2">
      <c r="A52" s="218" t="str">
        <f>A25</f>
        <v>External Pressure only</v>
      </c>
      <c r="B52" s="263">
        <f>$B$12/2*(F25*1000000)</f>
        <v>-22993.131094129927</v>
      </c>
      <c r="C52" s="263">
        <f>F25*$B$12*1000000-B52</f>
        <v>-22993.131094129927</v>
      </c>
      <c r="D52" s="418">
        <f>B52*0.001/($B$32)</f>
        <v>-1.9160942578441607</v>
      </c>
      <c r="E52" s="418">
        <f>C52/$B$32/1000</f>
        <v>-1.9160942578441607</v>
      </c>
      <c r="F52" s="5"/>
      <c r="G52" s="5"/>
      <c r="H52" s="5"/>
      <c r="I52" s="511" t="str">
        <f>I25</f>
        <v>External Pressure only</v>
      </c>
      <c r="J52" s="514">
        <f t="shared" si="2"/>
        <v>-131.29077854748189</v>
      </c>
      <c r="K52" s="514">
        <f t="shared" si="2"/>
        <v>-131.29077854748189</v>
      </c>
      <c r="L52" s="515">
        <f t="shared" si="3"/>
        <v>-277.91031115771705</v>
      </c>
      <c r="M52" s="515">
        <f t="shared" si="3"/>
        <v>-277.91031115771705</v>
      </c>
      <c r="N52" s="5"/>
      <c r="O52" s="5"/>
      <c r="P52" s="5"/>
      <c r="Q52" s="5"/>
      <c r="R52" s="5"/>
      <c r="S52" s="5"/>
      <c r="T52" s="5"/>
      <c r="U52" s="150" t="s">
        <v>1253</v>
      </c>
      <c r="V52" s="5"/>
      <c r="W52" s="5"/>
      <c r="X52" s="5"/>
    </row>
    <row r="53" spans="1:24" x14ac:dyDescent="0.2">
      <c r="A53" s="218" t="str">
        <f>A26</f>
        <v>Test</v>
      </c>
      <c r="B53" s="263">
        <f>$B$12/2*(F26*1000000)</f>
        <v>152056.8689058701</v>
      </c>
      <c r="C53" s="263">
        <f>F26*$B$12*1000000-B53</f>
        <v>152056.8689058701</v>
      </c>
      <c r="D53" s="418">
        <f>B53*0.001/($B$32)</f>
        <v>12.671405742155841</v>
      </c>
      <c r="E53" s="418">
        <f>C53/$B$32/1000</f>
        <v>12.671405742155841</v>
      </c>
      <c r="F53" s="5"/>
      <c r="G53" s="5"/>
      <c r="H53" s="5"/>
      <c r="I53" s="508" t="str">
        <f>I26</f>
        <v>Test</v>
      </c>
      <c r="J53" s="514">
        <f t="shared" si="2"/>
        <v>868.24472145251821</v>
      </c>
      <c r="K53" s="514">
        <f t="shared" si="2"/>
        <v>868.24472145251821</v>
      </c>
      <c r="L53" s="515">
        <f t="shared" si="3"/>
        <v>1837.860688842283</v>
      </c>
      <c r="M53" s="515">
        <f t="shared" si="3"/>
        <v>1837.860688842283</v>
      </c>
      <c r="N53" s="5"/>
      <c r="O53" s="5"/>
      <c r="P53" s="5"/>
      <c r="Q53" s="5"/>
      <c r="R53" s="341" t="s">
        <v>1248</v>
      </c>
      <c r="S53" s="503">
        <f>+D28</f>
        <v>-0.01</v>
      </c>
      <c r="T53" s="5"/>
      <c r="U53" s="171" t="s">
        <v>1262</v>
      </c>
      <c r="V53" s="26"/>
      <c r="W53" s="5"/>
      <c r="X53" s="5"/>
    </row>
    <row r="54" spans="1:24" ht="32.25" customHeight="1" x14ac:dyDescent="0.2">
      <c r="A54" s="218" t="str">
        <f>A27</f>
        <v>Test whithout Perlite</v>
      </c>
      <c r="B54" s="263">
        <f>$B$12/2*(F27*1000000)</f>
        <v>163330.59290587009</v>
      </c>
      <c r="C54" s="263">
        <f>F27*$B$12*1000000-B54</f>
        <v>163330.59290587003</v>
      </c>
      <c r="D54" s="418">
        <f>B54*0.001/($B$32)</f>
        <v>13.610882742155839</v>
      </c>
      <c r="E54" s="418">
        <f>C54/$B$32/1000</f>
        <v>13.610882742155836</v>
      </c>
      <c r="F54" s="5"/>
      <c r="G54" s="5"/>
      <c r="H54" s="5"/>
      <c r="I54" s="511" t="str">
        <f>I27</f>
        <v>Test whithout Perlite</v>
      </c>
      <c r="J54" s="514">
        <f t="shared" si="2"/>
        <v>932.61768549251815</v>
      </c>
      <c r="K54" s="514">
        <f t="shared" si="2"/>
        <v>932.61768549251781</v>
      </c>
      <c r="L54" s="515">
        <f t="shared" si="3"/>
        <v>1974.1224329222828</v>
      </c>
      <c r="M54" s="515">
        <f t="shared" si="3"/>
        <v>1974.1224329222823</v>
      </c>
      <c r="N54" s="5"/>
      <c r="O54" s="5"/>
      <c r="P54" s="5"/>
      <c r="Q54" s="5"/>
      <c r="R54" s="341" t="s">
        <v>1240</v>
      </c>
      <c r="S54" s="248">
        <f>+E28</f>
        <v>-2.8900000000000002E-2</v>
      </c>
      <c r="T54" s="5"/>
      <c r="U54" s="5"/>
      <c r="V54" s="5"/>
      <c r="W54" s="5"/>
      <c r="X54" s="5"/>
    </row>
    <row r="55" spans="1:24" ht="37.700000000000003" customHeight="1" x14ac:dyDescent="0.2">
      <c r="A55" s="388" t="str">
        <f>A28</f>
        <v>External Pressure + insulation+ design purge</v>
      </c>
      <c r="B55" s="5">
        <f>$B$12/2*(F28*1000000)</f>
        <v>-44929.407094129943</v>
      </c>
      <c r="C55" s="516">
        <f>F28*$B$12*1000000-B55</f>
        <v>-44929.407094129943</v>
      </c>
      <c r="D55" s="418">
        <f>B55*0.001/($B$32)</f>
        <v>-3.7441172578441617</v>
      </c>
      <c r="E55" s="418">
        <f>C55/$B$32/1000</f>
        <v>-3.7441172578441622</v>
      </c>
      <c r="F55" s="5"/>
      <c r="G55" s="5"/>
      <c r="H55" s="5"/>
      <c r="I55" s="511" t="str">
        <f>I28</f>
        <v>External Pressure + Insulation+ Design Purge</v>
      </c>
      <c r="J55" s="514">
        <f t="shared" si="2"/>
        <v>-256.54691450748197</v>
      </c>
      <c r="K55" s="514">
        <f t="shared" si="2"/>
        <v>-256.54691450748197</v>
      </c>
      <c r="L55" s="515">
        <f t="shared" si="3"/>
        <v>-543.04676707771716</v>
      </c>
      <c r="M55" s="515">
        <f t="shared" si="3"/>
        <v>-543.04676707771728</v>
      </c>
      <c r="N55" s="5"/>
      <c r="O55" s="5"/>
      <c r="P55" s="5"/>
      <c r="Q55" s="5"/>
      <c r="R55" s="5"/>
      <c r="S55" s="5"/>
      <c r="T55" s="5"/>
      <c r="U55" s="64" t="s">
        <v>1263</v>
      </c>
      <c r="V55" s="64" t="s">
        <v>1264</v>
      </c>
      <c r="W55" s="5"/>
      <c r="X55" s="5"/>
    </row>
    <row r="56" spans="1:24" x14ac:dyDescent="0.2">
      <c r="A56" s="14"/>
      <c r="B56" s="14"/>
      <c r="C56" s="260"/>
      <c r="D56" s="401"/>
      <c r="E56" s="5"/>
      <c r="F56" s="5"/>
      <c r="G56" s="5"/>
      <c r="H56" s="5"/>
      <c r="I56" s="14"/>
      <c r="J56" s="14"/>
      <c r="K56" s="260"/>
      <c r="L56" s="401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8" customHeight="1" x14ac:dyDescent="0.25">
      <c r="A57" s="134" t="s">
        <v>1265</v>
      </c>
      <c r="B57" s="14"/>
      <c r="C57" s="260"/>
      <c r="D57" s="401"/>
      <c r="E57" s="5"/>
      <c r="F57" s="5"/>
      <c r="G57" s="5"/>
      <c r="H57" s="5"/>
      <c r="I57" s="134" t="s">
        <v>1265</v>
      </c>
      <c r="J57" s="14"/>
      <c r="K57" s="260"/>
      <c r="L57" s="401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8" customHeight="1" x14ac:dyDescent="0.25">
      <c r="A58" s="134"/>
      <c r="B58" s="14"/>
      <c r="C58" s="260"/>
      <c r="D58" s="401"/>
      <c r="E58" s="5"/>
      <c r="F58" s="5"/>
      <c r="G58" s="5"/>
      <c r="H58" s="5"/>
      <c r="I58" s="517"/>
      <c r="J58" s="14"/>
      <c r="K58" s="260"/>
      <c r="L58" s="401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38.25" customHeight="1" x14ac:dyDescent="0.2">
      <c r="A59" s="5"/>
      <c r="B59" s="5"/>
      <c r="C59" s="5"/>
      <c r="D59" s="5"/>
      <c r="E59" s="5"/>
      <c r="F59" s="218" t="s">
        <v>1228</v>
      </c>
      <c r="G59" s="5"/>
      <c r="H59" s="5"/>
      <c r="I59" s="266"/>
      <c r="J59" s="266"/>
      <c r="K59" s="266"/>
      <c r="L59" s="266"/>
      <c r="M59" s="266"/>
      <c r="N59" s="518" t="s">
        <v>1229</v>
      </c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51" customHeight="1" x14ac:dyDescent="0.2">
      <c r="A60" s="5"/>
      <c r="B60" s="14" t="s">
        <v>447</v>
      </c>
      <c r="C60" s="5"/>
      <c r="D60" s="14" t="s">
        <v>1230</v>
      </c>
      <c r="E60" s="14" t="s">
        <v>1230</v>
      </c>
      <c r="F60" s="298" t="s">
        <v>1231</v>
      </c>
      <c r="G60" s="5"/>
      <c r="H60" s="5"/>
      <c r="I60" s="266"/>
      <c r="J60" s="266"/>
      <c r="K60" s="266"/>
      <c r="L60" s="266"/>
      <c r="M60" s="266"/>
      <c r="N60" s="519" t="s">
        <v>1231</v>
      </c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x14ac:dyDescent="0.2">
      <c r="A61" s="5"/>
      <c r="B61" s="14" t="s">
        <v>197</v>
      </c>
      <c r="C61" s="14" t="s">
        <v>1050</v>
      </c>
      <c r="D61" s="14" t="s">
        <v>1232</v>
      </c>
      <c r="E61" s="14" t="s">
        <v>895</v>
      </c>
      <c r="F61" s="14" t="s">
        <v>925</v>
      </c>
      <c r="G61" s="5"/>
      <c r="H61" s="5"/>
      <c r="I61" s="140"/>
      <c r="J61" s="140" t="s">
        <v>1233</v>
      </c>
      <c r="K61" s="140" t="s">
        <v>1050</v>
      </c>
      <c r="L61" s="140" t="s">
        <v>1234</v>
      </c>
      <c r="M61" s="140" t="s">
        <v>1121</v>
      </c>
      <c r="N61" s="140" t="s">
        <v>926</v>
      </c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51.75" customHeight="1" x14ac:dyDescent="0.25">
      <c r="A62" s="499" t="s">
        <v>1244</v>
      </c>
      <c r="B62" s="500">
        <f>+B25</f>
        <v>-80084.941287362512</v>
      </c>
      <c r="C62" s="219">
        <f>+C28</f>
        <v>0</v>
      </c>
      <c r="D62" s="494">
        <f>+D28</f>
        <v>-0.01</v>
      </c>
      <c r="E62" s="489">
        <f>-('Design Conditions'!J23)</f>
        <v>-5.0000000000000001E-3</v>
      </c>
      <c r="F62" s="490">
        <f>D62*0.1+E62*0.1+B62*9.8/(PI()*$B$13^2*1000000/4)+C62*0.1</f>
        <v>-3.854792343792214E-3</v>
      </c>
      <c r="G62" s="5"/>
      <c r="H62" s="5"/>
      <c r="I62" s="495" t="s">
        <v>1244</v>
      </c>
      <c r="J62" s="520">
        <f>+J25</f>
        <v>-176587.29553863435</v>
      </c>
      <c r="K62" s="521">
        <f>+K28</f>
        <v>0</v>
      </c>
      <c r="L62" s="522">
        <f>+L28</f>
        <v>-0.14504</v>
      </c>
      <c r="M62" s="521">
        <f>+E62*14.504</f>
        <v>-7.2520000000000001E-2</v>
      </c>
      <c r="N62" s="493">
        <f>F62*145.04</f>
        <v>-0.55909908154362264</v>
      </c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8" customHeight="1" x14ac:dyDescent="0.25">
      <c r="A63" s="499"/>
      <c r="B63" s="500"/>
      <c r="C63" s="219"/>
      <c r="D63" s="494"/>
      <c r="E63" s="489"/>
      <c r="F63" s="490"/>
      <c r="G63" s="5"/>
      <c r="H63" s="5"/>
      <c r="I63" s="517"/>
      <c r="J63" s="14"/>
      <c r="K63" s="260"/>
      <c r="L63" s="401"/>
      <c r="M63" s="5"/>
      <c r="N63" s="64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x14ac:dyDescent="0.2">
      <c r="A64" s="499"/>
      <c r="B64" s="500"/>
      <c r="C64" s="219"/>
      <c r="D64" s="494"/>
      <c r="E64" s="489"/>
      <c r="F64" s="490"/>
      <c r="G64" s="5"/>
      <c r="H64" s="5"/>
      <c r="I64" s="976" t="s">
        <v>1266</v>
      </c>
      <c r="J64" s="809"/>
      <c r="K64" s="809"/>
      <c r="L64" s="809"/>
      <c r="M64" s="809"/>
      <c r="N64" s="809"/>
      <c r="O64" s="809"/>
      <c r="P64" s="5"/>
      <c r="Q64" s="5"/>
      <c r="R64" s="5"/>
      <c r="S64" s="5"/>
      <c r="T64" s="5"/>
      <c r="U64" s="5"/>
      <c r="V64" s="5"/>
      <c r="W64" s="5"/>
      <c r="X64" s="5"/>
    </row>
    <row r="65" spans="1:24" ht="18" customHeight="1" x14ac:dyDescent="0.25">
      <c r="A65" s="134"/>
      <c r="B65" s="14"/>
      <c r="C65" s="260"/>
      <c r="D65" s="401"/>
      <c r="E65" s="5"/>
      <c r="F65" s="5"/>
      <c r="G65" s="5"/>
      <c r="H65" s="5"/>
      <c r="I65" s="809"/>
      <c r="J65" s="809"/>
      <c r="K65" s="809"/>
      <c r="L65" s="809"/>
      <c r="M65" s="809"/>
      <c r="N65" s="809"/>
      <c r="O65" s="809"/>
      <c r="P65" s="5"/>
      <c r="Q65" s="5"/>
      <c r="R65" s="5"/>
      <c r="S65" s="5"/>
      <c r="T65" s="5"/>
      <c r="U65" s="5"/>
      <c r="V65" s="5"/>
      <c r="W65" s="5"/>
      <c r="X65" s="5"/>
    </row>
    <row r="66" spans="1:24" ht="12.6" customHeight="1" x14ac:dyDescent="0.25">
      <c r="A66" s="134"/>
      <c r="B66" s="14"/>
      <c r="C66" s="260"/>
      <c r="D66" s="401"/>
      <c r="E66" s="5"/>
      <c r="F66" s="5"/>
      <c r="G66" s="5"/>
      <c r="H66" s="5"/>
      <c r="I66" s="134"/>
      <c r="J66" s="14"/>
      <c r="K66" s="260"/>
      <c r="L66" s="401"/>
      <c r="M66" s="5"/>
      <c r="N66" s="5"/>
      <c r="O66" s="5"/>
      <c r="P66" s="5"/>
      <c r="Q66" s="5"/>
      <c r="R66" s="5"/>
      <c r="S66" s="64" t="s">
        <v>1267</v>
      </c>
      <c r="T66" s="5"/>
      <c r="U66" s="5"/>
      <c r="V66" s="5"/>
      <c r="W66" s="5"/>
      <c r="X66" s="5"/>
    </row>
    <row r="67" spans="1:24" x14ac:dyDescent="0.2">
      <c r="A67" s="14"/>
      <c r="B67" s="14" t="s">
        <v>932</v>
      </c>
      <c r="C67" s="14" t="s">
        <v>933</v>
      </c>
      <c r="D67" s="14" t="s">
        <v>936</v>
      </c>
      <c r="E67" s="14" t="s">
        <v>1259</v>
      </c>
      <c r="F67" s="5"/>
      <c r="G67" s="5"/>
      <c r="H67" s="5"/>
      <c r="I67" s="170"/>
      <c r="J67" s="140" t="s">
        <v>1002</v>
      </c>
      <c r="K67" s="140" t="s">
        <v>1003</v>
      </c>
      <c r="L67" s="140" t="s">
        <v>1030</v>
      </c>
      <c r="M67" s="140" t="s">
        <v>1260</v>
      </c>
      <c r="N67" s="64"/>
      <c r="O67" s="5"/>
      <c r="P67" s="5"/>
      <c r="Q67" s="5"/>
      <c r="R67" s="5"/>
      <c r="S67" s="64" t="s">
        <v>1268</v>
      </c>
      <c r="T67" s="5">
        <f>+'Inner Tank Compression Ring 1'!B42</f>
        <v>0.57222222222222219</v>
      </c>
      <c r="U67" s="5"/>
      <c r="V67" s="5"/>
      <c r="W67" s="5"/>
      <c r="X67" s="5"/>
    </row>
    <row r="68" spans="1:24" x14ac:dyDescent="0.2">
      <c r="A68" s="5"/>
      <c r="B68" s="14" t="s">
        <v>940</v>
      </c>
      <c r="C68" s="14" t="s">
        <v>940</v>
      </c>
      <c r="D68" s="14" t="s">
        <v>941</v>
      </c>
      <c r="E68" s="14" t="s">
        <v>941</v>
      </c>
      <c r="F68" s="5"/>
      <c r="G68" s="5"/>
      <c r="H68" s="5"/>
      <c r="I68" s="170"/>
      <c r="J68" s="523" t="s">
        <v>1261</v>
      </c>
      <c r="K68" s="523" t="s">
        <v>1261</v>
      </c>
      <c r="L68" s="140" t="s">
        <v>926</v>
      </c>
      <c r="M68" s="140" t="s">
        <v>926</v>
      </c>
      <c r="N68" s="64"/>
      <c r="O68" s="5"/>
      <c r="P68" s="5"/>
      <c r="Q68" s="5"/>
      <c r="R68" s="5"/>
      <c r="S68" s="64" t="s">
        <v>1269</v>
      </c>
      <c r="T68" s="426">
        <f>+B25*9.8/(PI()*$B$13^2*1000000/4)/0.1</f>
        <v>-2.3547923437922138E-2</v>
      </c>
      <c r="U68" s="64" t="s">
        <v>1230</v>
      </c>
      <c r="V68" s="5"/>
      <c r="W68" s="5"/>
      <c r="X68" s="5"/>
    </row>
    <row r="69" spans="1:24" ht="51" customHeight="1" x14ac:dyDescent="0.2">
      <c r="A69" s="499" t="s">
        <v>1244</v>
      </c>
      <c r="B69" s="14">
        <f>+B55</f>
        <v>-44929.407094129943</v>
      </c>
      <c r="C69" s="213">
        <f>+B12*(V87*T67+V88)*100000-B69</f>
        <v>-6716.1534201727554</v>
      </c>
      <c r="D69" s="418">
        <f>B69*0.001/+'Main Dimensions Calcs'!D55</f>
        <v>-4.4929407094129941</v>
      </c>
      <c r="E69" s="418">
        <f>C69/+'Main Dimensions Calcs'!D55/1000</f>
        <v>-0.67161534201727557</v>
      </c>
      <c r="F69" s="5"/>
      <c r="G69" s="5"/>
      <c r="H69" s="5"/>
      <c r="I69" s="495" t="s">
        <v>1244</v>
      </c>
      <c r="J69" s="524">
        <f>+J55</f>
        <v>-256.54691450748197</v>
      </c>
      <c r="K69" s="524">
        <f>+C69*0.00571</f>
        <v>-38.349236029186429</v>
      </c>
      <c r="L69" s="524">
        <f>D69*145.04</f>
        <v>-651.65612049326057</v>
      </c>
      <c r="M69" s="524">
        <f>E69*145.04</f>
        <v>-97.41108920618565</v>
      </c>
      <c r="N69" s="64"/>
      <c r="O69" s="5"/>
      <c r="P69" s="5"/>
      <c r="Q69" s="5"/>
      <c r="R69" s="5"/>
      <c r="S69" s="64" t="s">
        <v>1270</v>
      </c>
      <c r="T69" s="426">
        <f>D28-'Design Conditions'!J23</f>
        <v>-1.4999999999999999E-2</v>
      </c>
      <c r="U69" s="64" t="s">
        <v>1230</v>
      </c>
      <c r="V69" s="5"/>
      <c r="W69" s="5"/>
      <c r="X69" s="5"/>
    </row>
    <row r="70" spans="1:24" x14ac:dyDescent="0.2">
      <c r="A70" s="14"/>
      <c r="B70" s="14"/>
      <c r="C70" s="260"/>
      <c r="D70" s="401"/>
      <c r="E70" s="5"/>
      <c r="F70" s="5"/>
      <c r="G70" s="5"/>
      <c r="H70" s="5"/>
      <c r="I70" s="170"/>
      <c r="J70" s="170"/>
      <c r="K70" s="214"/>
      <c r="L70" s="525"/>
      <c r="M70" s="64"/>
      <c r="N70" s="64"/>
      <c r="O70" s="5"/>
      <c r="P70" s="5"/>
      <c r="Q70" s="5"/>
      <c r="R70" s="5"/>
      <c r="S70" s="64" t="s">
        <v>1271</v>
      </c>
      <c r="T70" s="5">
        <f>+(PI()*'Main Dimensions Calcs'!D53^2/4)/1000000</f>
        <v>333.29156461934116</v>
      </c>
      <c r="U70" s="5">
        <f>+T70*1550</f>
        <v>516601.9251599788</v>
      </c>
      <c r="V70" s="5">
        <f>+V83*T67+V84</f>
        <v>-2848.8394716201628</v>
      </c>
      <c r="W70" s="64" t="s">
        <v>1015</v>
      </c>
      <c r="X70" s="5">
        <f>+V70*B12</f>
        <v>-51279.110489162929</v>
      </c>
    </row>
    <row r="71" spans="1:24" x14ac:dyDescent="0.2">
      <c r="A71" s="14"/>
      <c r="B71" s="14"/>
      <c r="C71" s="260"/>
      <c r="D71" s="401"/>
      <c r="E71" s="5"/>
      <c r="F71" s="5"/>
      <c r="G71" s="5"/>
      <c r="H71" s="5"/>
      <c r="I71" s="526" t="s">
        <v>1272</v>
      </c>
      <c r="J71" s="162" t="s">
        <v>1273</v>
      </c>
      <c r="K71" s="527">
        <f>+SQRT(-(J69+0.8*K69)*J11)/1342</f>
        <v>0.33618550373834344</v>
      </c>
      <c r="L71" s="526" t="s">
        <v>1274</v>
      </c>
      <c r="M71" s="162">
        <f>+K71/J11</f>
        <v>4.7439509971966234E-4</v>
      </c>
      <c r="N71" s="528" t="s">
        <v>1275</v>
      </c>
      <c r="O71" s="529">
        <v>6.7000000000000002E-3</v>
      </c>
      <c r="P71" s="64" t="str">
        <f>+IF(M71&lt;O71,"OK","NO OK")</f>
        <v>OK</v>
      </c>
      <c r="Q71" s="5"/>
      <c r="R71" s="5"/>
      <c r="S71" s="5"/>
      <c r="T71" s="64"/>
      <c r="U71" s="64"/>
      <c r="V71" s="5"/>
      <c r="W71" s="64"/>
      <c r="X71" s="5"/>
    </row>
    <row r="72" spans="1:24" x14ac:dyDescent="0.2">
      <c r="A72" s="69" t="s">
        <v>1272</v>
      </c>
      <c r="B72" s="170" t="s">
        <v>1054</v>
      </c>
      <c r="C72" s="260">
        <f>SQRT((-B69-0.8*C69)*B12)/1342</f>
        <v>0.70905151123207744</v>
      </c>
      <c r="D72" s="401"/>
      <c r="E72" s="5"/>
      <c r="F72" s="5"/>
      <c r="G72" s="5"/>
      <c r="H72" s="5"/>
      <c r="I72" s="530"/>
      <c r="J72" s="165" t="s">
        <v>1276</v>
      </c>
      <c r="K72" s="531">
        <f>+SQRT(-K69*J11)/1000</f>
        <v>0.16485334075380811</v>
      </c>
      <c r="L72" s="171"/>
      <c r="M72" s="164">
        <f>+K72/J11</f>
        <v>2.3262638084148475E-4</v>
      </c>
      <c r="N72" s="532" t="s">
        <v>1275</v>
      </c>
      <c r="O72" s="533">
        <v>6.7000000000000002E-3</v>
      </c>
      <c r="P72" s="64" t="str">
        <f>+IF(M72&lt;O72,"OK","NO OK")</f>
        <v>OK</v>
      </c>
      <c r="Q72" s="5"/>
      <c r="R72" s="5"/>
      <c r="S72" s="534" t="s">
        <v>1277</v>
      </c>
      <c r="T72" s="534">
        <f>+J25/U70</f>
        <v>-0.34182469506661178</v>
      </c>
      <c r="U72" s="64" t="s">
        <v>926</v>
      </c>
      <c r="V72" s="5"/>
      <c r="W72" s="64"/>
      <c r="X72" s="5"/>
    </row>
    <row r="73" spans="1:24" x14ac:dyDescent="0.2">
      <c r="A73" s="14"/>
      <c r="B73" s="170" t="s">
        <v>1278</v>
      </c>
      <c r="C73" s="260"/>
      <c r="D73" s="401"/>
      <c r="E73" s="5"/>
      <c r="F73" s="5"/>
      <c r="G73" s="5"/>
      <c r="H73" s="5"/>
      <c r="I73" s="5"/>
      <c r="J73" s="5"/>
      <c r="K73" s="5"/>
      <c r="L73" s="5"/>
      <c r="M73" s="5"/>
      <c r="N73" s="64"/>
      <c r="O73" s="5"/>
      <c r="P73" s="5"/>
      <c r="Q73" s="5"/>
      <c r="R73" s="5"/>
      <c r="S73" s="64" t="s">
        <v>1279</v>
      </c>
      <c r="T73" s="426">
        <f>+V88/0.07</f>
        <v>-0.21428571428571425</v>
      </c>
      <c r="U73" s="64" t="s">
        <v>926</v>
      </c>
      <c r="V73" s="5"/>
      <c r="W73" s="64"/>
      <c r="X73" s="5"/>
    </row>
    <row r="74" spans="1:24" x14ac:dyDescent="0.2">
      <c r="A74" s="5"/>
      <c r="B74" s="263"/>
      <c r="C74" s="5"/>
      <c r="D74" s="5"/>
      <c r="E74" s="5"/>
      <c r="F74" s="5"/>
      <c r="G74" s="5"/>
      <c r="H74" s="5"/>
      <c r="I74" s="143" t="s">
        <v>1280</v>
      </c>
      <c r="J74" s="144"/>
      <c r="K74" s="144"/>
      <c r="L74" s="144"/>
      <c r="M74" s="535">
        <f>+MAX(K71,K72)</f>
        <v>0.33618550373834344</v>
      </c>
      <c r="N74" s="536" t="s">
        <v>248</v>
      </c>
      <c r="O74" s="5"/>
      <c r="P74" s="5"/>
      <c r="Q74" s="5"/>
      <c r="R74" s="5"/>
      <c r="S74" s="5"/>
      <c r="T74" s="5"/>
      <c r="U74" s="5"/>
      <c r="V74" s="5"/>
      <c r="W74" s="5"/>
      <c r="X74" s="5">
        <f>+X70-B69</f>
        <v>-6349.703395032986</v>
      </c>
    </row>
    <row r="75" spans="1:24" x14ac:dyDescent="0.2">
      <c r="A75" s="5"/>
      <c r="B75" s="263"/>
      <c r="C75" s="5"/>
      <c r="D75" s="5"/>
      <c r="E75" s="5"/>
      <c r="F75" s="5"/>
      <c r="G75" s="5"/>
      <c r="H75" s="5"/>
      <c r="I75" s="537" t="s">
        <v>1281</v>
      </c>
      <c r="J75" s="144"/>
      <c r="K75" s="538">
        <f>+'Main Dimensions Calcs'!D55/25.4</f>
        <v>0.39370078740157483</v>
      </c>
      <c r="L75" s="144" t="s">
        <v>248</v>
      </c>
      <c r="M75" s="535"/>
      <c r="N75" s="536" t="str">
        <f>+IF(K75&gt;M74,"OK","NOOK")</f>
        <v>OK</v>
      </c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3.5" customHeight="1" thickBot="1" x14ac:dyDescent="0.25">
      <c r="A76" s="5"/>
      <c r="B76" s="26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7.25" customHeight="1" thickTop="1" thickBot="1" x14ac:dyDescent="0.3">
      <c r="A77" s="5"/>
      <c r="B77" s="263"/>
      <c r="C77" s="5"/>
      <c r="D77" s="5"/>
      <c r="E77" s="5"/>
      <c r="F77" s="5"/>
      <c r="G77" s="5"/>
      <c r="H77" s="5"/>
      <c r="I77" s="28"/>
      <c r="J77" s="4"/>
      <c r="K77" s="408"/>
      <c r="L77" s="934" t="str">
        <f>'Front Page'!$A$13</f>
        <v>Mechanical  Calculations</v>
      </c>
      <c r="M77" s="842"/>
      <c r="N77" s="842"/>
      <c r="O77" s="842"/>
      <c r="P77" s="859"/>
      <c r="Q77" s="5"/>
      <c r="R77" s="5"/>
      <c r="S77" s="64"/>
      <c r="T77" s="5"/>
      <c r="U77" s="5"/>
      <c r="V77" s="5"/>
      <c r="W77" s="5"/>
      <c r="X77" s="5"/>
    </row>
    <row r="78" spans="1:24" ht="16.5" customHeight="1" thickBot="1" x14ac:dyDescent="0.3">
      <c r="A78" s="5"/>
      <c r="B78" s="263"/>
      <c r="C78" s="5"/>
      <c r="D78" s="5"/>
      <c r="E78" s="5"/>
      <c r="F78" s="5"/>
      <c r="G78" s="5"/>
      <c r="H78" s="5"/>
      <c r="I78" s="6"/>
      <c r="J78" s="5"/>
      <c r="K78" s="14"/>
      <c r="L78" s="984"/>
      <c r="M78" s="831"/>
      <c r="N78" s="831"/>
      <c r="O78" s="831"/>
      <c r="P78" s="854"/>
      <c r="Q78" s="5"/>
      <c r="R78" s="5"/>
      <c r="S78" s="64"/>
      <c r="T78" s="5"/>
      <c r="U78" s="5"/>
      <c r="V78" s="5"/>
      <c r="W78" s="5"/>
      <c r="X78" s="5"/>
    </row>
    <row r="79" spans="1:24" ht="16.5" customHeight="1" thickBot="1" x14ac:dyDescent="0.3">
      <c r="A79" s="5"/>
      <c r="B79" s="263"/>
      <c r="C79" s="5"/>
      <c r="D79" s="5"/>
      <c r="E79" s="5"/>
      <c r="F79" s="5"/>
      <c r="G79" s="5"/>
      <c r="H79" s="5"/>
      <c r="I79" s="8"/>
      <c r="J79" s="9"/>
      <c r="K79" s="409"/>
      <c r="L79" s="985" t="s">
        <v>1214</v>
      </c>
      <c r="M79" s="834"/>
      <c r="N79" s="834"/>
      <c r="O79" s="834"/>
      <c r="P79" s="986"/>
      <c r="Q79" s="5"/>
      <c r="R79" s="5"/>
      <c r="S79" s="64"/>
      <c r="T79" s="5"/>
      <c r="U79" s="5"/>
      <c r="V79" s="5"/>
      <c r="W79" s="5"/>
      <c r="X79" s="5"/>
    </row>
    <row r="80" spans="1:24" ht="16.5" customHeight="1" thickTop="1" thickBot="1" x14ac:dyDescent="0.3">
      <c r="A80" s="5"/>
      <c r="B80" s="263"/>
      <c r="C80" s="5"/>
      <c r="D80" s="5"/>
      <c r="E80" s="5"/>
      <c r="F80" s="5"/>
      <c r="G80" s="5"/>
      <c r="H80" s="5"/>
      <c r="I80" s="873"/>
      <c r="J80" s="848"/>
      <c r="K80" s="865"/>
      <c r="L80" s="385" t="str">
        <f>'Front Page'!$D$4</f>
        <v>Doc Nº</v>
      </c>
      <c r="M80" s="980"/>
      <c r="N80" s="843"/>
      <c r="O80" s="980"/>
      <c r="P80" s="843"/>
      <c r="Q80" s="5"/>
      <c r="R80" s="5"/>
      <c r="S80" s="64"/>
      <c r="T80" s="5"/>
      <c r="U80" s="5"/>
      <c r="V80" s="5"/>
      <c r="W80" s="5"/>
      <c r="X80" s="5"/>
    </row>
    <row r="81" spans="1:24" ht="15.75" customHeight="1" thickBot="1" x14ac:dyDescent="0.3">
      <c r="A81" s="5"/>
      <c r="B81" s="263"/>
      <c r="C81" s="5"/>
      <c r="D81" s="5"/>
      <c r="E81" s="5"/>
      <c r="F81" s="5"/>
      <c r="G81" s="5"/>
      <c r="H81" s="5"/>
      <c r="I81" s="860"/>
      <c r="J81" s="851"/>
      <c r="K81" s="861"/>
      <c r="L81" s="386" t="str">
        <f>'Front Page'!$D$5</f>
        <v>Project</v>
      </c>
      <c r="M81" s="899"/>
      <c r="N81" s="835"/>
      <c r="O81" s="131" t="s">
        <v>5</v>
      </c>
      <c r="P81" s="427"/>
      <c r="Q81" s="5"/>
      <c r="R81" s="5"/>
      <c r="S81" s="64"/>
      <c r="T81" s="5"/>
      <c r="U81" s="5"/>
      <c r="V81" s="5"/>
      <c r="W81" s="5"/>
      <c r="X81" s="5"/>
    </row>
    <row r="82" spans="1:24" ht="13.5" customHeight="1" thickTop="1" x14ac:dyDescent="0.2">
      <c r="A82" s="5"/>
      <c r="B82" s="263"/>
      <c r="C82" s="5"/>
      <c r="D82" s="5"/>
      <c r="E82" s="5"/>
      <c r="F82" s="5"/>
      <c r="G82" s="5"/>
      <c r="H82" s="5"/>
      <c r="I82" s="170"/>
      <c r="J82" s="64"/>
      <c r="K82" s="534"/>
      <c r="L82" s="64"/>
      <c r="M82" s="539"/>
      <c r="N82" s="214"/>
      <c r="O82" s="5"/>
      <c r="P82" s="5"/>
      <c r="Q82" s="5"/>
      <c r="R82" s="5"/>
      <c r="S82" s="64"/>
      <c r="T82" s="5"/>
      <c r="U82" s="5"/>
      <c r="V82" s="5"/>
      <c r="W82" s="5"/>
      <c r="X82" s="5"/>
    </row>
    <row r="83" spans="1:24" ht="13.5" customHeight="1" x14ac:dyDescent="0.25">
      <c r="A83" s="5"/>
      <c r="B83" s="5"/>
      <c r="C83" s="5"/>
      <c r="D83" s="5"/>
      <c r="E83" s="5"/>
      <c r="F83" s="5"/>
      <c r="G83" s="5"/>
      <c r="H83" s="5"/>
      <c r="I83" s="1000" t="s">
        <v>1282</v>
      </c>
      <c r="J83" s="809"/>
      <c r="K83" s="809"/>
      <c r="L83" s="809"/>
      <c r="M83" s="809"/>
      <c r="N83" s="809"/>
      <c r="O83" s="809"/>
      <c r="P83" s="809"/>
      <c r="Q83" s="5"/>
      <c r="R83" s="5"/>
      <c r="S83" s="5"/>
      <c r="T83" s="5"/>
      <c r="U83" s="5"/>
      <c r="V83" s="426">
        <f>+B25*9.81/T70</f>
        <v>-2357.1951931226145</v>
      </c>
      <c r="W83" s="64" t="s">
        <v>1015</v>
      </c>
      <c r="X83" s="5"/>
    </row>
    <row r="84" spans="1:24" ht="15" customHeight="1" x14ac:dyDescent="0.2">
      <c r="A84" s="5"/>
      <c r="B84" s="5"/>
      <c r="C84" s="5"/>
      <c r="D84" s="5"/>
      <c r="E84" s="5"/>
      <c r="F84" s="5"/>
      <c r="G84" s="5"/>
      <c r="H84" s="5"/>
      <c r="I84" s="998" t="s">
        <v>1283</v>
      </c>
      <c r="J84" s="809"/>
      <c r="K84" s="809"/>
      <c r="L84" s="809"/>
      <c r="M84" s="809"/>
      <c r="N84" s="809"/>
      <c r="O84" s="809"/>
      <c r="P84" s="809"/>
      <c r="Q84" s="5"/>
      <c r="R84" s="5"/>
      <c r="S84" s="5"/>
      <c r="T84" s="5"/>
      <c r="U84" s="5"/>
      <c r="V84" s="5">
        <f>+T69*100000</f>
        <v>-1500</v>
      </c>
      <c r="W84" s="64" t="s">
        <v>1015</v>
      </c>
      <c r="X84" s="5"/>
    </row>
    <row r="85" spans="1:24" ht="35.25" customHeight="1" x14ac:dyDescent="0.25">
      <c r="A85" s="1000" t="s">
        <v>1282</v>
      </c>
      <c r="B85" s="809"/>
      <c r="C85" s="809"/>
      <c r="D85" s="809"/>
      <c r="E85" s="809"/>
      <c r="F85" s="809"/>
      <c r="G85" s="809"/>
      <c r="H85" s="5"/>
      <c r="I85" s="809"/>
      <c r="J85" s="809"/>
      <c r="K85" s="809"/>
      <c r="L85" s="809"/>
      <c r="M85" s="809"/>
      <c r="N85" s="809"/>
      <c r="O85" s="809"/>
      <c r="P85" s="809"/>
      <c r="Q85" s="5"/>
      <c r="R85" s="5"/>
      <c r="S85" s="5"/>
      <c r="T85" s="5"/>
      <c r="U85" s="5"/>
      <c r="V85" s="64" t="s">
        <v>1174</v>
      </c>
      <c r="W85" s="5"/>
      <c r="X85" s="5"/>
    </row>
    <row r="86" spans="1:24" x14ac:dyDescent="0.2">
      <c r="A86" s="295"/>
      <c r="B86" s="295"/>
      <c r="C86" s="295"/>
      <c r="D86" s="295"/>
      <c r="E86" s="295"/>
      <c r="F86" s="295"/>
      <c r="G86" s="29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64"/>
      <c r="X86" s="5"/>
    </row>
    <row r="87" spans="1:24" x14ac:dyDescent="0.2">
      <c r="A87" s="998" t="s">
        <v>1283</v>
      </c>
      <c r="B87" s="809"/>
      <c r="C87" s="809"/>
      <c r="D87" s="809"/>
      <c r="E87" s="809"/>
      <c r="F87" s="809"/>
      <c r="G87" s="809"/>
      <c r="H87" s="5"/>
      <c r="I87" s="295"/>
      <c r="J87" s="999" t="s">
        <v>1284</v>
      </c>
      <c r="K87" s="812"/>
      <c r="L87" s="812"/>
      <c r="M87" s="812"/>
      <c r="N87" s="812"/>
      <c r="O87" s="813"/>
      <c r="P87" s="5"/>
      <c r="Q87" s="5"/>
      <c r="R87" s="5"/>
      <c r="S87" s="5"/>
      <c r="T87" s="5"/>
      <c r="U87" s="5"/>
      <c r="V87" s="426">
        <f>+T72*0.07</f>
        <v>-2.3927728654662826E-2</v>
      </c>
      <c r="W87" s="64" t="s">
        <v>1230</v>
      </c>
      <c r="X87" s="5">
        <f>+V87*T67+V88</f>
        <v>-2.8691978063501503E-2</v>
      </c>
    </row>
    <row r="88" spans="1:24" ht="38.25" customHeight="1" x14ac:dyDescent="0.2">
      <c r="A88" s="809"/>
      <c r="B88" s="809"/>
      <c r="C88" s="809"/>
      <c r="D88" s="809"/>
      <c r="E88" s="809"/>
      <c r="F88" s="809"/>
      <c r="G88" s="809"/>
      <c r="H88" s="5"/>
      <c r="I88" s="5"/>
      <c r="J88" s="512" t="s">
        <v>991</v>
      </c>
      <c r="K88" s="512" t="s">
        <v>1285</v>
      </c>
      <c r="L88" s="512" t="s">
        <v>1286</v>
      </c>
      <c r="M88" s="512" t="s">
        <v>1287</v>
      </c>
      <c r="N88" s="196" t="s">
        <v>1288</v>
      </c>
      <c r="O88" s="542"/>
      <c r="P88" s="5"/>
      <c r="Q88" s="5"/>
      <c r="R88" s="5"/>
      <c r="S88" s="5"/>
      <c r="T88" s="5"/>
      <c r="U88" s="5"/>
      <c r="V88" s="426">
        <f>-('Design Conditions'!G23+'Design Conditions'!J23)</f>
        <v>-1.4999999999999999E-2</v>
      </c>
      <c r="W88" s="64" t="s">
        <v>1230</v>
      </c>
      <c r="X88" s="5"/>
    </row>
    <row r="89" spans="1:24" x14ac:dyDescent="0.2">
      <c r="A89" s="540"/>
      <c r="B89" s="540"/>
      <c r="C89" s="540"/>
      <c r="D89" s="540"/>
      <c r="E89" s="540"/>
      <c r="F89" s="540"/>
      <c r="G89" s="540"/>
      <c r="H89" s="5"/>
      <c r="I89" s="5"/>
      <c r="J89" s="542">
        <f>B92</f>
        <v>6.6666666666666664E-4</v>
      </c>
      <c r="K89" s="542">
        <f>C92*145.04</f>
        <v>667.18399999999986</v>
      </c>
      <c r="L89" s="542" t="str">
        <f>IF((AND((J89&gt;0.00667),(J89&lt;0.0175))),(5650+154200*J89)*0.0069,"N/A")</f>
        <v>N/A</v>
      </c>
      <c r="M89" s="542" t="str">
        <f>IF(J89&gt;0.0175,8340*0.0069,"N/A")</f>
        <v>N/A</v>
      </c>
      <c r="N89" s="468">
        <f>IF(J89&lt;0.0067,K89,IF(J89&gt;0.0175,M89,L89))</f>
        <v>667.18399999999986</v>
      </c>
      <c r="O89" s="196" t="s">
        <v>926</v>
      </c>
      <c r="P89" s="5"/>
      <c r="Q89" s="5"/>
      <c r="R89" s="5"/>
      <c r="S89" s="426"/>
      <c r="T89" s="5"/>
      <c r="U89" s="5"/>
      <c r="V89" s="5"/>
      <c r="W89" s="5"/>
      <c r="X89" s="5"/>
    </row>
    <row r="90" spans="1:24" x14ac:dyDescent="0.2">
      <c r="A90" s="295"/>
      <c r="B90" s="295"/>
      <c r="C90" s="1002" t="s">
        <v>1284</v>
      </c>
      <c r="D90" s="809"/>
      <c r="E90" s="809"/>
      <c r="F90" s="295"/>
      <c r="G90" s="29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52.7" customHeight="1" x14ac:dyDescent="0.2">
      <c r="A91" s="5"/>
      <c r="B91" s="212" t="s">
        <v>991</v>
      </c>
      <c r="C91" s="218" t="s">
        <v>1285</v>
      </c>
      <c r="D91" s="218" t="s">
        <v>1286</v>
      </c>
      <c r="E91" s="218" t="s">
        <v>1287</v>
      </c>
      <c r="F91" s="5"/>
      <c r="G91" s="5"/>
      <c r="H91" s="5"/>
      <c r="I91" s="998" t="s">
        <v>1289</v>
      </c>
      <c r="J91" s="809"/>
      <c r="K91" s="809"/>
      <c r="L91" s="809"/>
      <c r="M91" s="809"/>
      <c r="N91" s="809"/>
      <c r="O91" s="809"/>
      <c r="P91" s="809"/>
      <c r="Q91" s="5"/>
      <c r="R91" s="5"/>
      <c r="S91" s="5"/>
      <c r="T91" s="5"/>
      <c r="U91" s="5"/>
      <c r="V91" s="5"/>
      <c r="W91" s="5"/>
      <c r="X91" s="5"/>
    </row>
    <row r="92" spans="1:24" x14ac:dyDescent="0.2">
      <c r="A92" s="5"/>
      <c r="B92" s="5">
        <f>B32*0.001/$B$12</f>
        <v>6.6666666666666664E-4</v>
      </c>
      <c r="C92" s="5">
        <f>IF(B92&lt;0.00667,1000000*B92*0.0069,"N/A")</f>
        <v>4.5999999999999996</v>
      </c>
      <c r="D92" s="5" t="str">
        <f>IF((AND((B92&gt;0.00667),(B92&lt;0.0175))),(5650+154200*B92)*0.0069,"N/A")</f>
        <v>N/A</v>
      </c>
      <c r="E92" s="5" t="str">
        <f>IF(B92&gt;0.0175,8340*0.0069,"N/A")</f>
        <v>N/A</v>
      </c>
      <c r="F92" s="5">
        <f>IF(B92&lt;0.0067,C92,IF(B92&gt;0.0175,E92,D92))</f>
        <v>4.5999999999999996</v>
      </c>
      <c r="G92" s="5" t="s">
        <v>941</v>
      </c>
      <c r="H92" s="5"/>
      <c r="I92" s="809"/>
      <c r="J92" s="809"/>
      <c r="K92" s="809"/>
      <c r="L92" s="809"/>
      <c r="M92" s="809"/>
      <c r="N92" s="809"/>
      <c r="O92" s="809"/>
      <c r="P92" s="809"/>
      <c r="Q92" s="5"/>
      <c r="R92" s="5"/>
      <c r="S92" s="5"/>
      <c r="T92" s="5"/>
      <c r="U92" s="5"/>
      <c r="V92" s="5"/>
      <c r="W92" s="5"/>
      <c r="X92" s="5"/>
    </row>
    <row r="93" spans="1:24" x14ac:dyDescent="0.2">
      <c r="A93" s="5"/>
      <c r="B93" s="5"/>
      <c r="C93" s="5"/>
      <c r="D93" s="5"/>
      <c r="E93" s="5"/>
      <c r="F93" s="5"/>
      <c r="G93" s="5"/>
      <c r="H93" s="212"/>
      <c r="I93" s="5"/>
      <c r="J93" s="5"/>
      <c r="K93" s="5"/>
      <c r="L93" s="5"/>
      <c r="M93" s="5"/>
      <c r="N93" s="5"/>
      <c r="O93" s="5"/>
      <c r="P93" s="212"/>
      <c r="Q93" s="5"/>
      <c r="R93" s="5"/>
      <c r="S93" s="5"/>
      <c r="T93" s="5"/>
      <c r="U93" s="5"/>
      <c r="V93" s="5"/>
      <c r="W93" s="5"/>
      <c r="X93" s="5"/>
    </row>
    <row r="94" spans="1:24" ht="25.5" customHeight="1" x14ac:dyDescent="0.2">
      <c r="A94" s="998" t="s">
        <v>1289</v>
      </c>
      <c r="B94" s="809"/>
      <c r="C94" s="809"/>
      <c r="D94" s="809"/>
      <c r="E94" s="809"/>
      <c r="F94" s="809"/>
      <c r="G94" s="809"/>
      <c r="H94" s="5"/>
      <c r="I94" s="5"/>
      <c r="J94" s="541" t="s">
        <v>1284</v>
      </c>
      <c r="K94" s="541"/>
      <c r="L94" s="541"/>
      <c r="M94" s="541"/>
      <c r="N94" s="541"/>
      <c r="O94" s="541"/>
      <c r="P94" s="5"/>
      <c r="Q94" s="5"/>
      <c r="R94" s="5"/>
      <c r="S94" s="5"/>
      <c r="T94" s="5"/>
      <c r="U94" s="5"/>
      <c r="V94" s="5"/>
      <c r="W94" s="5"/>
      <c r="X94" s="5"/>
    </row>
    <row r="95" spans="1:24" ht="25.5" customHeight="1" x14ac:dyDescent="0.2">
      <c r="A95" s="809"/>
      <c r="B95" s="809"/>
      <c r="C95" s="809"/>
      <c r="D95" s="809"/>
      <c r="E95" s="809"/>
      <c r="F95" s="809"/>
      <c r="G95" s="809"/>
      <c r="H95" s="5"/>
      <c r="I95" s="5"/>
      <c r="J95" s="512" t="s">
        <v>991</v>
      </c>
      <c r="K95" s="512" t="s">
        <v>1290</v>
      </c>
      <c r="L95" s="512" t="s">
        <v>1291</v>
      </c>
      <c r="M95" s="512" t="s">
        <v>1292</v>
      </c>
      <c r="N95" s="196" t="s">
        <v>1288</v>
      </c>
      <c r="O95" s="542"/>
      <c r="P95" s="5"/>
      <c r="Q95" s="5"/>
      <c r="R95" s="5"/>
      <c r="S95" s="5"/>
      <c r="T95" s="5"/>
      <c r="U95" s="5"/>
      <c r="V95" s="5"/>
      <c r="W95" s="5"/>
      <c r="X95" s="5"/>
    </row>
    <row r="96" spans="1:24" x14ac:dyDescent="0.2">
      <c r="A96" s="211"/>
      <c r="B96" s="211"/>
      <c r="C96" s="1002" t="s">
        <v>1284</v>
      </c>
      <c r="D96" s="809"/>
      <c r="E96" s="809"/>
      <c r="F96" s="211"/>
      <c r="G96" s="211"/>
      <c r="H96" s="5"/>
      <c r="I96" s="211"/>
      <c r="J96" s="542">
        <f>B98</f>
        <v>6.6666666666666664E-4</v>
      </c>
      <c r="K96" s="542">
        <f>C98*145.04</f>
        <v>1200.9311999999998</v>
      </c>
      <c r="L96" s="542" t="str">
        <f>IF((AND((J89&gt;0.00667),(J89&lt;0.0175))),(10150+277400*J96)*0.0069,"N/A")</f>
        <v>N/A</v>
      </c>
      <c r="M96" s="542" t="str">
        <f>IF(J89&gt;0.0175,15000*0.0069,"N/A")</f>
        <v>N/A</v>
      </c>
      <c r="N96" s="468">
        <f>IF(J96&lt;0.0067,K96,IF(J96&gt;0.0175,M96,L96))</f>
        <v>1200.9311999999998</v>
      </c>
      <c r="O96" s="196" t="s">
        <v>926</v>
      </c>
      <c r="P96" s="5"/>
      <c r="Q96" s="5"/>
      <c r="R96" s="5"/>
      <c r="S96" s="5"/>
      <c r="T96" s="5"/>
      <c r="U96" s="5"/>
      <c r="V96" s="5"/>
      <c r="W96" s="5"/>
      <c r="X96" s="5"/>
    </row>
    <row r="97" spans="1:24" ht="11.85" customHeight="1" x14ac:dyDescent="0.2">
      <c r="A97" s="5"/>
      <c r="B97" s="212" t="s">
        <v>991</v>
      </c>
      <c r="C97" s="212" t="s">
        <v>1290</v>
      </c>
      <c r="D97" s="212" t="s">
        <v>1291</v>
      </c>
      <c r="E97" s="212" t="s">
        <v>1292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x14ac:dyDescent="0.2">
      <c r="A98" s="5"/>
      <c r="B98" s="5">
        <f>B32*0.001/$B$12</f>
        <v>6.6666666666666664E-4</v>
      </c>
      <c r="C98" s="5">
        <f>IF(B92&lt;0.00667,1800000*B98*0.0069,"N/A")</f>
        <v>8.2799999999999994</v>
      </c>
      <c r="D98" s="5" t="str">
        <f>IF((AND((B92&gt;0.00667),(B92&lt;0.0175))),(10150+277400*B98)*0.0069,"N/A")</f>
        <v>N/A</v>
      </c>
      <c r="E98" s="5" t="str">
        <f>IF(B92&gt;0.0175,15000*0.0069,"N/A")</f>
        <v>N/A</v>
      </c>
      <c r="F98" s="5">
        <f>IF(B98&lt;0.0067,C98,IF(B98&gt;0.0175,E98,D98))</f>
        <v>8.2799999999999994</v>
      </c>
      <c r="G98" s="5" t="s">
        <v>941</v>
      </c>
      <c r="H98" s="5"/>
      <c r="I98" s="118" t="s">
        <v>1293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x14ac:dyDescent="0.2">
      <c r="A99" s="5"/>
      <c r="B99" s="5"/>
      <c r="C99" s="5"/>
      <c r="D99" s="5"/>
      <c r="E99" s="5"/>
      <c r="F99" s="5"/>
      <c r="G99" s="5"/>
      <c r="H99" s="5"/>
      <c r="I99" s="5" t="s">
        <v>1294</v>
      </c>
      <c r="J99" s="5">
        <f>J9*J10</f>
        <v>7874.9999999999991</v>
      </c>
      <c r="K99" s="64" t="s">
        <v>926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4.25" customHeight="1" x14ac:dyDescent="0.2">
      <c r="A100" s="118" t="s">
        <v>1293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x14ac:dyDescent="0.2">
      <c r="A101" s="5"/>
      <c r="B101" s="5"/>
      <c r="C101" s="5"/>
      <c r="D101" s="5"/>
      <c r="E101" s="5"/>
      <c r="F101" s="5"/>
      <c r="G101" s="5"/>
      <c r="H101" s="5"/>
      <c r="I101" s="118" t="s">
        <v>1295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x14ac:dyDescent="0.2">
      <c r="A102" s="5" t="s">
        <v>1294</v>
      </c>
      <c r="B102" s="5">
        <f>B9*B11</f>
        <v>54.295366795366796</v>
      </c>
      <c r="C102" s="5" t="s">
        <v>941</v>
      </c>
      <c r="D102" s="5"/>
      <c r="E102" s="5"/>
      <c r="F102" s="5"/>
      <c r="G102" s="5"/>
      <c r="H102" s="5"/>
      <c r="I102" s="64" t="s">
        <v>1296</v>
      </c>
      <c r="J102" s="265">
        <f>J32*N89*2/J11</f>
        <v>0.88957866666666641</v>
      </c>
      <c r="K102" s="64" t="s">
        <v>926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x14ac:dyDescent="0.2">
      <c r="A103" s="5"/>
      <c r="B103" s="5"/>
      <c r="C103" s="5"/>
      <c r="D103" s="5"/>
      <c r="E103" s="5"/>
      <c r="F103" s="5"/>
      <c r="G103" s="5"/>
      <c r="H103" s="5"/>
      <c r="I103" s="64" t="s">
        <v>1297</v>
      </c>
      <c r="J103" s="265">
        <f>J102-D105/(PI()*J12^2/4)</f>
        <v>0.69715816579606504</v>
      </c>
      <c r="K103" s="64" t="s">
        <v>1298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x14ac:dyDescent="0.2">
      <c r="A105" s="366" t="s">
        <v>1299</v>
      </c>
      <c r="B105" s="433"/>
      <c r="C105" s="433"/>
      <c r="D105" s="433">
        <v>99405</v>
      </c>
      <c r="E105" s="433"/>
      <c r="F105" s="433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</sheetData>
  <mergeCells count="58">
    <mergeCell ref="S24:V24"/>
    <mergeCell ref="C96:E96"/>
    <mergeCell ref="C9:G9"/>
    <mergeCell ref="C11:G11"/>
    <mergeCell ref="C15:G16"/>
    <mergeCell ref="D41:H41"/>
    <mergeCell ref="D40:H40"/>
    <mergeCell ref="D39:H39"/>
    <mergeCell ref="C90:E90"/>
    <mergeCell ref="A42:C42"/>
    <mergeCell ref="E42:F42"/>
    <mergeCell ref="G42:H42"/>
    <mergeCell ref="A46:G47"/>
    <mergeCell ref="A87:G88"/>
    <mergeCell ref="A94:G95"/>
    <mergeCell ref="E43:F43"/>
    <mergeCell ref="A43:C43"/>
    <mergeCell ref="A85:G85"/>
    <mergeCell ref="E4:F4"/>
    <mergeCell ref="E5:F5"/>
    <mergeCell ref="A5:C5"/>
    <mergeCell ref="D1:H1"/>
    <mergeCell ref="D2:H2"/>
    <mergeCell ref="A4:C4"/>
    <mergeCell ref="G4:H4"/>
    <mergeCell ref="D3:H3"/>
    <mergeCell ref="L1:P1"/>
    <mergeCell ref="L2:P2"/>
    <mergeCell ref="L3:P3"/>
    <mergeCell ref="I4:K4"/>
    <mergeCell ref="M4:N4"/>
    <mergeCell ref="O4:P4"/>
    <mergeCell ref="I5:K5"/>
    <mergeCell ref="M5:N5"/>
    <mergeCell ref="K15:O16"/>
    <mergeCell ref="K9:P9"/>
    <mergeCell ref="L39:P39"/>
    <mergeCell ref="L40:P40"/>
    <mergeCell ref="L41:P41"/>
    <mergeCell ref="I42:K42"/>
    <mergeCell ref="M42:N42"/>
    <mergeCell ref="O42:P42"/>
    <mergeCell ref="I46:P47"/>
    <mergeCell ref="I84:P85"/>
    <mergeCell ref="I91:P92"/>
    <mergeCell ref="I43:K43"/>
    <mergeCell ref="M43:N43"/>
    <mergeCell ref="J87:O87"/>
    <mergeCell ref="I83:P83"/>
    <mergeCell ref="I64:O65"/>
    <mergeCell ref="L77:P77"/>
    <mergeCell ref="L78:P78"/>
    <mergeCell ref="L79:P79"/>
    <mergeCell ref="I80:K80"/>
    <mergeCell ref="M80:N80"/>
    <mergeCell ref="O80:P80"/>
    <mergeCell ref="I81:K81"/>
    <mergeCell ref="M81:N81"/>
  </mergeCells>
  <pageMargins left="0.74803149606299213" right="0.74803149606299213" top="0.98425196850393704" bottom="0.98425196850393704" header="0" footer="0"/>
  <pageSetup paperSize="9" scale="93" fitToHeight="0" orientation="portrait"/>
  <rowBreaks count="2" manualBreakCount="2">
    <brk id="38" min="8" max="15" man="1"/>
    <brk id="76" min="8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tabColor rgb="FF00B050"/>
    <pageSetUpPr fitToPage="1"/>
  </sheetPr>
  <dimension ref="A1:AJ106"/>
  <sheetViews>
    <sheetView topLeftCell="A67" workbookViewId="0">
      <selection activeCell="M13" sqref="M13"/>
    </sheetView>
    <sheetView tabSelected="1" workbookViewId="1">
      <selection sqref="A1:AK5"/>
    </sheetView>
  </sheetViews>
  <sheetFormatPr defaultColWidth="11.42578125" defaultRowHeight="12.75" x14ac:dyDescent="0.2"/>
  <cols>
    <col min="1" max="1" width="8.5703125" customWidth="1"/>
    <col min="2" max="2" width="12.140625" bestFit="1" customWidth="1"/>
    <col min="3" max="3" width="10.5703125" customWidth="1"/>
    <col min="4" max="4" width="8.140625" customWidth="1"/>
    <col min="5" max="5" width="10.42578125" customWidth="1"/>
    <col min="6" max="6" width="10" customWidth="1"/>
    <col min="7" max="7" width="9" customWidth="1"/>
    <col min="8" max="8" width="6.140625" customWidth="1"/>
    <col min="9" max="9" width="11.85546875" customWidth="1"/>
    <col min="10" max="10" width="7" customWidth="1"/>
    <col min="11" max="11" width="10.85546875" customWidth="1"/>
    <col min="12" max="12" width="10.42578125" customWidth="1"/>
    <col min="14" max="14" width="10.42578125" customWidth="1"/>
    <col min="17" max="17" width="9.85546875" customWidth="1"/>
    <col min="18" max="18" width="8.140625" customWidth="1"/>
    <col min="19" max="19" width="12.140625" customWidth="1"/>
    <col min="21" max="21" width="12.140625" customWidth="1"/>
    <col min="22" max="23" width="12.42578125" customWidth="1"/>
    <col min="24" max="24" width="12.140625" customWidth="1"/>
    <col min="26" max="26" width="12.140625" customWidth="1"/>
    <col min="29" max="29" width="12.42578125" customWidth="1"/>
    <col min="31" max="31" width="12.140625" customWidth="1"/>
    <col min="33" max="33" width="13" customWidth="1"/>
    <col min="35" max="35" width="12.42578125" customWidth="1"/>
  </cols>
  <sheetData>
    <row r="1" spans="1:36" ht="17.25" customHeight="1" thickTop="1" thickBot="1" x14ac:dyDescent="0.3">
      <c r="A1" s="822"/>
      <c r="B1" s="823"/>
      <c r="C1" s="824"/>
      <c r="D1" s="913" t="str">
        <f>'Front Page'!$A$13</f>
        <v>Mechanical  Calculations</v>
      </c>
      <c r="E1" s="842"/>
      <c r="F1" s="842"/>
      <c r="G1" s="842"/>
      <c r="H1" s="842"/>
      <c r="I1" s="843"/>
      <c r="J1" s="822"/>
      <c r="K1" s="823"/>
      <c r="L1" s="824"/>
      <c r="M1" s="913" t="str">
        <f>'Front Page'!$A$13</f>
        <v>Mechanical  Calculations</v>
      </c>
      <c r="N1" s="842"/>
      <c r="O1" s="842"/>
      <c r="P1" s="842"/>
      <c r="Q1" s="842"/>
      <c r="R1" s="843"/>
      <c r="S1" s="822"/>
      <c r="T1" s="823"/>
      <c r="U1" s="824"/>
      <c r="V1" s="913" t="str">
        <f>'Front Page'!$A$13</f>
        <v>Mechanical  Calculations</v>
      </c>
      <c r="W1" s="842"/>
      <c r="X1" s="842"/>
      <c r="Y1" s="842"/>
      <c r="Z1" s="842"/>
      <c r="AA1" s="843"/>
      <c r="AB1" s="822"/>
      <c r="AC1" s="823"/>
      <c r="AD1" s="824"/>
      <c r="AE1" s="913" t="str">
        <f>'Front Page'!$A$13</f>
        <v>Mechanical  Calculations</v>
      </c>
      <c r="AF1" s="842"/>
      <c r="AG1" s="842"/>
      <c r="AH1" s="842"/>
      <c r="AI1" s="842"/>
      <c r="AJ1" s="843"/>
    </row>
    <row r="2" spans="1:36" ht="16.5" customHeight="1" thickBot="1" x14ac:dyDescent="0.3">
      <c r="A2" s="825"/>
      <c r="B2" s="809"/>
      <c r="C2" s="826"/>
      <c r="D2" s="839"/>
      <c r="E2" s="831"/>
      <c r="F2" s="831"/>
      <c r="G2" s="831"/>
      <c r="H2" s="831"/>
      <c r="I2" s="832"/>
      <c r="J2" s="825"/>
      <c r="K2" s="809"/>
      <c r="L2" s="826"/>
      <c r="M2" s="839"/>
      <c r="N2" s="831"/>
      <c r="O2" s="831"/>
      <c r="P2" s="831"/>
      <c r="Q2" s="831"/>
      <c r="R2" s="832"/>
      <c r="S2" s="825"/>
      <c r="T2" s="809"/>
      <c r="U2" s="826"/>
      <c r="V2" s="839"/>
      <c r="W2" s="831"/>
      <c r="X2" s="831"/>
      <c r="Y2" s="831"/>
      <c r="Z2" s="831"/>
      <c r="AA2" s="832"/>
      <c r="AB2" s="825"/>
      <c r="AC2" s="809"/>
      <c r="AD2" s="826"/>
      <c r="AE2" s="839"/>
      <c r="AF2" s="831"/>
      <c r="AG2" s="831"/>
      <c r="AH2" s="831"/>
      <c r="AI2" s="831"/>
      <c r="AJ2" s="832"/>
    </row>
    <row r="3" spans="1:36" ht="16.5" customHeight="1" thickBot="1" x14ac:dyDescent="0.3">
      <c r="A3" s="827"/>
      <c r="B3" s="828"/>
      <c r="C3" s="829"/>
      <c r="D3" s="839" t="s">
        <v>1300</v>
      </c>
      <c r="E3" s="831"/>
      <c r="F3" s="831"/>
      <c r="G3" s="831"/>
      <c r="H3" s="831"/>
      <c r="I3" s="832"/>
      <c r="J3" s="827"/>
      <c r="K3" s="828"/>
      <c r="L3" s="829"/>
      <c r="M3" s="839" t="s">
        <v>1300</v>
      </c>
      <c r="N3" s="831"/>
      <c r="O3" s="831"/>
      <c r="P3" s="831"/>
      <c r="Q3" s="831"/>
      <c r="R3" s="832"/>
      <c r="S3" s="827"/>
      <c r="T3" s="828"/>
      <c r="U3" s="829"/>
      <c r="V3" s="839" t="s">
        <v>1300</v>
      </c>
      <c r="W3" s="831"/>
      <c r="X3" s="831"/>
      <c r="Y3" s="831"/>
      <c r="Z3" s="831"/>
      <c r="AA3" s="832"/>
      <c r="AB3" s="827"/>
      <c r="AC3" s="828"/>
      <c r="AD3" s="829"/>
      <c r="AE3" s="839" t="s">
        <v>1300</v>
      </c>
      <c r="AF3" s="831"/>
      <c r="AG3" s="831"/>
      <c r="AH3" s="831"/>
      <c r="AI3" s="831"/>
      <c r="AJ3" s="832"/>
    </row>
    <row r="4" spans="1:36" ht="16.5" customHeight="1" thickTop="1" thickBot="1" x14ac:dyDescent="0.3">
      <c r="A4" s="830"/>
      <c r="B4" s="831"/>
      <c r="C4" s="832"/>
      <c r="D4" s="915" t="str">
        <f>'Front Page'!$D$4</f>
        <v>Doc Nº</v>
      </c>
      <c r="E4" s="832"/>
      <c r="F4" s="980"/>
      <c r="G4" s="843"/>
      <c r="H4" s="33"/>
      <c r="I4" s="544"/>
      <c r="J4" s="830"/>
      <c r="K4" s="831"/>
      <c r="L4" s="832"/>
      <c r="M4" s="915" t="str">
        <f>'Front Page'!$D$4</f>
        <v>Doc Nº</v>
      </c>
      <c r="N4" s="832"/>
      <c r="O4" s="846"/>
      <c r="P4" s="832"/>
      <c r="Q4" s="33"/>
      <c r="R4" s="544"/>
      <c r="S4" s="830"/>
      <c r="T4" s="831"/>
      <c r="U4" s="832"/>
      <c r="V4" s="915" t="str">
        <f>'Front Page'!$D$4</f>
        <v>Doc Nº</v>
      </c>
      <c r="W4" s="832"/>
      <c r="X4" s="980"/>
      <c r="Y4" s="843"/>
      <c r="Z4" s="33"/>
      <c r="AA4" s="544"/>
      <c r="AB4" s="830"/>
      <c r="AC4" s="831"/>
      <c r="AD4" s="832"/>
      <c r="AE4" s="915" t="str">
        <f>'Front Page'!$D$4</f>
        <v>Doc Nº</v>
      </c>
      <c r="AF4" s="832"/>
      <c r="AG4" s="846"/>
      <c r="AH4" s="832"/>
      <c r="AI4" s="33"/>
      <c r="AJ4" s="544"/>
    </row>
    <row r="5" spans="1:36" ht="15.75" customHeight="1" thickBot="1" x14ac:dyDescent="0.3">
      <c r="A5" s="987"/>
      <c r="B5" s="834"/>
      <c r="C5" s="835"/>
      <c r="D5" s="914" t="str">
        <f>'Front Page'!$D$5</f>
        <v>Project</v>
      </c>
      <c r="E5" s="835"/>
      <c r="F5" s="899"/>
      <c r="G5" s="835"/>
      <c r="H5" s="131" t="s">
        <v>5</v>
      </c>
      <c r="I5" s="132"/>
      <c r="J5" s="987"/>
      <c r="K5" s="834"/>
      <c r="L5" s="835"/>
      <c r="M5" s="914" t="str">
        <f>'Front Page'!$D$5</f>
        <v>Project</v>
      </c>
      <c r="N5" s="835"/>
      <c r="O5" s="899"/>
      <c r="P5" s="835"/>
      <c r="Q5" s="131" t="s">
        <v>5</v>
      </c>
      <c r="R5" s="132"/>
      <c r="S5" s="987"/>
      <c r="T5" s="834"/>
      <c r="U5" s="835"/>
      <c r="V5" s="914" t="str">
        <f>'Front Page'!$D$5</f>
        <v>Project</v>
      </c>
      <c r="W5" s="835"/>
      <c r="X5" s="899"/>
      <c r="Y5" s="835"/>
      <c r="Z5" s="131" t="s">
        <v>5</v>
      </c>
      <c r="AA5" s="427"/>
      <c r="AB5" s="987"/>
      <c r="AC5" s="834"/>
      <c r="AD5" s="835"/>
      <c r="AE5" s="914" t="str">
        <f>'Front Page'!$D$5</f>
        <v>Project</v>
      </c>
      <c r="AF5" s="835"/>
      <c r="AG5" s="899"/>
      <c r="AH5" s="835"/>
      <c r="AI5" s="131" t="s">
        <v>5</v>
      </c>
      <c r="AJ5" s="427"/>
    </row>
    <row r="6" spans="1:36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  <c r="R6" s="5"/>
      <c r="S6" s="4"/>
      <c r="T6" s="4"/>
      <c r="U6" s="4"/>
      <c r="V6" s="4"/>
      <c r="W6" s="4"/>
      <c r="X6" s="4"/>
      <c r="Y6" s="4"/>
      <c r="Z6" s="4"/>
      <c r="AA6" s="4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">
      <c r="A7" s="1004" t="s">
        <v>1301</v>
      </c>
      <c r="B7" s="809"/>
      <c r="C7" s="809"/>
      <c r="D7" s="809"/>
      <c r="E7" s="809"/>
      <c r="F7" s="809"/>
      <c r="G7" s="809"/>
      <c r="H7" s="809"/>
      <c r="I7" s="809"/>
      <c r="J7" s="5"/>
      <c r="K7" s="5"/>
      <c r="L7" s="5"/>
      <c r="M7" s="5"/>
      <c r="N7" s="5"/>
      <c r="O7" s="5"/>
      <c r="P7" s="5"/>
      <c r="Q7" s="5"/>
      <c r="R7" s="5"/>
      <c r="S7" s="1004" t="s">
        <v>1301</v>
      </c>
      <c r="T7" s="809"/>
      <c r="U7" s="809"/>
      <c r="V7" s="809"/>
      <c r="W7" s="809"/>
      <c r="X7" s="809"/>
      <c r="Y7" s="809"/>
      <c r="Z7" s="809"/>
      <c r="AA7" s="809"/>
      <c r="AB7" s="5"/>
      <c r="AC7" s="5"/>
      <c r="AD7" s="5"/>
      <c r="AE7" s="5"/>
      <c r="AF7" s="5"/>
      <c r="AG7" s="5"/>
      <c r="AH7" s="5"/>
      <c r="AI7" s="5"/>
      <c r="AJ7" s="5"/>
    </row>
    <row r="8" spans="1:36" ht="18" customHeight="1" x14ac:dyDescent="0.2">
      <c r="A8" s="809"/>
      <c r="B8" s="809"/>
      <c r="C8" s="809"/>
      <c r="D8" s="809"/>
      <c r="E8" s="809"/>
      <c r="F8" s="809"/>
      <c r="G8" s="809"/>
      <c r="H8" s="809"/>
      <c r="I8" s="809"/>
      <c r="J8" s="5"/>
      <c r="K8" s="5"/>
      <c r="L8" s="5"/>
      <c r="M8" s="5"/>
      <c r="N8" s="5"/>
      <c r="O8" s="5"/>
      <c r="P8" s="5"/>
      <c r="Q8" s="5"/>
      <c r="R8" s="5"/>
      <c r="S8" s="809"/>
      <c r="T8" s="809"/>
      <c r="U8" s="809"/>
      <c r="V8" s="809"/>
      <c r="W8" s="809"/>
      <c r="X8" s="809"/>
      <c r="Y8" s="809"/>
      <c r="Z8" s="809"/>
      <c r="AA8" s="809"/>
      <c r="AB8" s="5"/>
      <c r="AC8" s="5"/>
      <c r="AD8" s="5"/>
      <c r="AE8" s="5"/>
      <c r="AF8" s="5"/>
      <c r="AG8" s="5"/>
      <c r="AH8" s="5"/>
      <c r="AI8" s="5"/>
      <c r="AJ8" s="5"/>
    </row>
    <row r="9" spans="1:36" ht="12.75" customHeight="1" x14ac:dyDescent="0.2">
      <c r="A9" s="809"/>
      <c r="B9" s="809"/>
      <c r="C9" s="809"/>
      <c r="D9" s="809"/>
      <c r="E9" s="809"/>
      <c r="F9" s="809"/>
      <c r="G9" s="809"/>
      <c r="H9" s="809"/>
      <c r="I9" s="809"/>
      <c r="J9" s="14"/>
      <c r="K9" s="5"/>
      <c r="L9" s="5"/>
      <c r="M9" s="226"/>
      <c r="N9" s="545"/>
      <c r="O9" s="5"/>
      <c r="P9" s="5"/>
      <c r="Q9" s="5"/>
      <c r="R9" s="5"/>
      <c r="S9" s="809"/>
      <c r="T9" s="809"/>
      <c r="U9" s="809"/>
      <c r="V9" s="809"/>
      <c r="W9" s="809"/>
      <c r="X9" s="809"/>
      <c r="Y9" s="809"/>
      <c r="Z9" s="809"/>
      <c r="AA9" s="809"/>
      <c r="AB9" s="14"/>
      <c r="AC9" s="5"/>
      <c r="AD9" s="5"/>
      <c r="AE9" s="226"/>
      <c r="AF9" s="545"/>
      <c r="AG9" s="5"/>
      <c r="AH9" s="5"/>
      <c r="AI9" s="5"/>
      <c r="AJ9" s="5"/>
    </row>
    <row r="10" spans="1:36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14"/>
      <c r="AD10" s="5"/>
      <c r="AE10" s="5"/>
      <c r="AF10" s="226"/>
      <c r="AG10" s="545"/>
      <c r="AH10" s="5"/>
      <c r="AI10" s="5"/>
      <c r="AJ10" s="5"/>
    </row>
    <row r="11" spans="1:36" ht="18" customHeight="1" x14ac:dyDescent="0.25">
      <c r="A11" s="134" t="s">
        <v>1302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34" t="s">
        <v>1302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6" t="s">
        <v>1303</v>
      </c>
      <c r="O12" s="546">
        <f>'Main Dimensions Calcs'!D55</f>
        <v>10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x14ac:dyDescent="0.2">
      <c r="A13" s="226" t="s">
        <v>197</v>
      </c>
      <c r="B13" s="265">
        <f>'Thermal calculation 2'!K82+'Weight Calculations'!H71</f>
        <v>80084.941287362512</v>
      </c>
      <c r="C13" s="5" t="s">
        <v>1304</v>
      </c>
      <c r="D13" s="5"/>
      <c r="E13" s="5"/>
      <c r="F13" s="5"/>
      <c r="G13" s="5"/>
      <c r="H13" s="5"/>
      <c r="I13" s="5"/>
      <c r="J13" s="5"/>
      <c r="K13" s="507"/>
      <c r="L13" s="5"/>
      <c r="M13" s="5"/>
      <c r="N13" s="5"/>
      <c r="O13" s="5"/>
      <c r="P13" s="5"/>
      <c r="Q13" s="5"/>
      <c r="R13" s="5"/>
      <c r="S13" s="226" t="s">
        <v>197</v>
      </c>
      <c r="T13" s="265">
        <f>B13*2.205</f>
        <v>176587.29553863435</v>
      </c>
      <c r="U13" s="64" t="s">
        <v>1305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226" t="s">
        <v>1303</v>
      </c>
      <c r="AH13" s="547">
        <f>+O12/25.4</f>
        <v>0.39370078740157483</v>
      </c>
      <c r="AI13" s="5"/>
      <c r="AJ13" s="5"/>
    </row>
    <row r="14" spans="1:36" x14ac:dyDescent="0.2">
      <c r="A14" s="226" t="s">
        <v>1306</v>
      </c>
      <c r="B14" s="389">
        <f>'Main Dimensions Calcs'!D53/2</f>
        <v>10300</v>
      </c>
      <c r="C14" s="5" t="s">
        <v>1307</v>
      </c>
      <c r="D14" s="5"/>
      <c r="E14" s="5"/>
      <c r="F14" s="5"/>
      <c r="G14" s="5"/>
      <c r="H14" s="5"/>
      <c r="I14" s="5"/>
      <c r="J14" s="5"/>
      <c r="K14" s="507"/>
      <c r="L14" s="5"/>
      <c r="M14" s="5"/>
      <c r="N14" s="5"/>
      <c r="O14" s="5"/>
      <c r="P14" s="5"/>
      <c r="Q14" s="5"/>
      <c r="R14" s="5"/>
      <c r="S14" s="226" t="s">
        <v>1306</v>
      </c>
      <c r="T14" s="390">
        <f t="shared" ref="T14:T21" si="0">B14/25.4</f>
        <v>405.51181102362204</v>
      </c>
      <c r="U14" s="64" t="s">
        <v>1308</v>
      </c>
      <c r="V14" s="5"/>
      <c r="W14" s="5"/>
      <c r="X14" s="5"/>
      <c r="Y14" s="5"/>
      <c r="Z14" s="5"/>
      <c r="AA14" s="5"/>
      <c r="AB14" s="5"/>
      <c r="AC14" s="5"/>
      <c r="AD14" s="507"/>
      <c r="AE14" s="5"/>
      <c r="AF14" s="5"/>
      <c r="AG14" s="5"/>
      <c r="AH14" s="5"/>
      <c r="AI14" s="5"/>
      <c r="AJ14" s="5"/>
    </row>
    <row r="15" spans="1:36" x14ac:dyDescent="0.2">
      <c r="A15" s="548" t="s">
        <v>1309</v>
      </c>
      <c r="B15" s="389">
        <f>'Main Dimensions Calcs'!D54</f>
        <v>18000</v>
      </c>
      <c r="C15" s="5" t="s">
        <v>1310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48" t="s">
        <v>1309</v>
      </c>
      <c r="T15" s="390">
        <f t="shared" si="0"/>
        <v>708.66141732283472</v>
      </c>
      <c r="U15" s="64" t="s">
        <v>1311</v>
      </c>
      <c r="V15" s="5"/>
      <c r="W15" s="5"/>
      <c r="X15" s="5"/>
      <c r="Y15" s="5"/>
      <c r="Z15" s="5"/>
      <c r="AA15" s="5"/>
      <c r="AB15" s="226"/>
      <c r="AC15" s="5"/>
      <c r="AD15" s="507"/>
      <c r="AE15" s="5"/>
      <c r="AF15" s="5"/>
      <c r="AG15" s="5"/>
      <c r="AH15" s="5"/>
      <c r="AI15" s="5"/>
      <c r="AJ15" s="5"/>
    </row>
    <row r="16" spans="1:36" x14ac:dyDescent="0.2">
      <c r="A16" s="548" t="s">
        <v>1221</v>
      </c>
      <c r="B16" s="399">
        <f>'Main Dimensions Calcs'!L40</f>
        <v>8</v>
      </c>
      <c r="C16" s="5" t="s">
        <v>1312</v>
      </c>
      <c r="D16" s="5"/>
      <c r="E16" s="5"/>
      <c r="F16" s="5"/>
      <c r="G16" s="5"/>
      <c r="H16" s="5"/>
      <c r="I16" s="5"/>
      <c r="J16" s="226"/>
      <c r="K16" s="549"/>
      <c r="L16" s="5"/>
      <c r="M16" s="5"/>
      <c r="N16" s="5"/>
      <c r="O16" s="5"/>
      <c r="P16" s="5"/>
      <c r="Q16" s="5"/>
      <c r="R16" s="5"/>
      <c r="S16" s="548" t="s">
        <v>1221</v>
      </c>
      <c r="T16" s="390">
        <f t="shared" si="0"/>
        <v>0.31496062992125984</v>
      </c>
      <c r="U16" s="64" t="s">
        <v>1313</v>
      </c>
      <c r="V16" s="5"/>
      <c r="W16" s="5"/>
      <c r="X16" s="5"/>
      <c r="Y16" s="5"/>
      <c r="Z16" s="5"/>
      <c r="AA16" s="5"/>
      <c r="AB16" s="226"/>
      <c r="AC16" s="5"/>
      <c r="AD16" s="5"/>
      <c r="AE16" s="5"/>
      <c r="AF16" s="5"/>
      <c r="AG16" s="5"/>
      <c r="AH16" s="5"/>
      <c r="AI16" s="5"/>
      <c r="AJ16" s="5"/>
    </row>
    <row r="17" spans="1:36" x14ac:dyDescent="0.2">
      <c r="A17" s="548" t="s">
        <v>1314</v>
      </c>
      <c r="B17" s="399">
        <f>'Main Dimensions Calcs'!L41</f>
        <v>300</v>
      </c>
      <c r="C17" s="5" t="s">
        <v>1315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341" t="s">
        <v>1316</v>
      </c>
      <c r="T17" s="390">
        <f t="shared" si="0"/>
        <v>11.811023622047244</v>
      </c>
      <c r="U17" s="64" t="s">
        <v>1317</v>
      </c>
      <c r="V17" s="5"/>
      <c r="W17" s="5"/>
      <c r="X17" s="5"/>
      <c r="Y17" s="5"/>
      <c r="Z17" s="5"/>
      <c r="AA17" s="5"/>
      <c r="AB17" s="5"/>
      <c r="AC17" s="226"/>
      <c r="AD17" s="549"/>
      <c r="AE17" s="5"/>
      <c r="AF17" s="5"/>
      <c r="AG17" s="5"/>
      <c r="AH17" s="5"/>
      <c r="AI17" s="5"/>
      <c r="AJ17" s="5"/>
    </row>
    <row r="18" spans="1:36" x14ac:dyDescent="0.2">
      <c r="A18" s="548" t="s">
        <v>1181</v>
      </c>
      <c r="B18" s="399">
        <f>'Main Dimensions Calcs'!L42</f>
        <v>25</v>
      </c>
      <c r="C18" s="5" t="s">
        <v>1318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48" t="s">
        <v>1181</v>
      </c>
      <c r="T18" s="390">
        <f t="shared" si="0"/>
        <v>0.98425196850393704</v>
      </c>
      <c r="U18" s="64" t="s">
        <v>1319</v>
      </c>
      <c r="V18" s="5"/>
      <c r="W18" s="5"/>
      <c r="X18" s="5"/>
      <c r="Y18" s="5"/>
      <c r="Z18" s="5"/>
      <c r="AA18" s="5"/>
      <c r="AB18" s="226"/>
      <c r="AC18" s="5"/>
      <c r="AD18" s="5"/>
      <c r="AE18" s="5"/>
      <c r="AF18" s="5"/>
      <c r="AG18" s="5"/>
      <c r="AH18" s="5"/>
      <c r="AI18" s="5"/>
      <c r="AJ18" s="5"/>
    </row>
    <row r="19" spans="1:36" x14ac:dyDescent="0.2">
      <c r="A19" s="548" t="s">
        <v>1320</v>
      </c>
      <c r="B19" s="399">
        <f>'Main Dimensions Calcs'!L43</f>
        <v>380</v>
      </c>
      <c r="C19" s="5" t="s">
        <v>1321</v>
      </c>
      <c r="D19" s="5"/>
      <c r="E19" s="5"/>
      <c r="F19" s="5"/>
      <c r="G19" s="5"/>
      <c r="H19" s="5"/>
      <c r="I19" s="5"/>
      <c r="J19" s="5"/>
      <c r="K19" s="226" t="s">
        <v>1322</v>
      </c>
      <c r="L19" s="549">
        <f>B20</f>
        <v>240</v>
      </c>
      <c r="M19" s="5"/>
      <c r="N19" s="5"/>
      <c r="O19" s="5"/>
      <c r="P19" s="5"/>
      <c r="Q19" s="5"/>
      <c r="R19" s="5"/>
      <c r="S19" s="548" t="s">
        <v>1320</v>
      </c>
      <c r="T19" s="390">
        <f t="shared" si="0"/>
        <v>14.960629921259843</v>
      </c>
      <c r="U19" s="64" t="s">
        <v>1323</v>
      </c>
      <c r="V19" s="5"/>
      <c r="W19" s="5"/>
      <c r="X19" s="5"/>
      <c r="Y19" s="5"/>
      <c r="Z19" s="5"/>
      <c r="AA19" s="5"/>
      <c r="AB19" s="5"/>
      <c r="AC19" s="5"/>
      <c r="AD19" s="226" t="s">
        <v>1322</v>
      </c>
      <c r="AE19" s="550">
        <f>+L19/25.4</f>
        <v>9.4488188976377963</v>
      </c>
      <c r="AF19" s="5"/>
      <c r="AG19" s="5"/>
      <c r="AH19" s="5"/>
      <c r="AI19" s="5"/>
      <c r="AJ19" s="5"/>
    </row>
    <row r="20" spans="1:36" x14ac:dyDescent="0.2">
      <c r="A20" s="548" t="s">
        <v>1324</v>
      </c>
      <c r="B20" s="487">
        <f>'Main Dimensions Calcs'!L44</f>
        <v>240</v>
      </c>
      <c r="C20" s="5" t="s">
        <v>1325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226" t="s">
        <v>1303</v>
      </c>
      <c r="O20" s="551">
        <f>B18</f>
        <v>25</v>
      </c>
      <c r="P20" s="5"/>
      <c r="Q20" s="5"/>
      <c r="R20" s="5"/>
      <c r="S20" s="341" t="s">
        <v>1326</v>
      </c>
      <c r="T20" s="390">
        <f t="shared" si="0"/>
        <v>9.4488188976377963</v>
      </c>
      <c r="U20" s="64" t="s">
        <v>1327</v>
      </c>
      <c r="V20" s="5"/>
      <c r="W20" s="5"/>
      <c r="X20" s="5"/>
      <c r="Y20" s="5"/>
      <c r="Z20" s="5"/>
      <c r="AA20" s="5"/>
      <c r="AB20" s="5"/>
      <c r="AC20" s="5"/>
      <c r="AD20" s="5"/>
      <c r="AE20" s="549"/>
      <c r="AF20" s="5"/>
      <c r="AG20" s="5"/>
      <c r="AH20" s="5"/>
      <c r="AI20" s="5"/>
      <c r="AJ20" s="5"/>
    </row>
    <row r="21" spans="1:36" ht="18.75" customHeight="1" x14ac:dyDescent="0.2">
      <c r="A21" s="548" t="s">
        <v>541</v>
      </c>
      <c r="B21" s="399">
        <f>'Main Dimensions Calcs'!L45</f>
        <v>140</v>
      </c>
      <c r="C21" s="5" t="s">
        <v>1328</v>
      </c>
      <c r="D21" s="5"/>
      <c r="E21" s="5"/>
      <c r="F21" s="5"/>
      <c r="G21" s="5"/>
      <c r="H21" s="5"/>
      <c r="I21" s="5"/>
      <c r="J21" s="226" t="s">
        <v>1329</v>
      </c>
      <c r="K21" s="549">
        <f>B19</f>
        <v>380</v>
      </c>
      <c r="L21" s="5"/>
      <c r="M21" s="5"/>
      <c r="N21" s="5"/>
      <c r="O21" s="5"/>
      <c r="P21" s="5"/>
      <c r="Q21" s="5"/>
      <c r="R21" s="5"/>
      <c r="S21" s="548" t="s">
        <v>541</v>
      </c>
      <c r="T21" s="390">
        <f t="shared" si="0"/>
        <v>5.5118110236220472</v>
      </c>
      <c r="U21" s="64" t="s">
        <v>1330</v>
      </c>
      <c r="V21" s="5"/>
      <c r="W21" s="5"/>
      <c r="X21" s="5"/>
      <c r="Y21" s="5"/>
      <c r="Z21" s="5"/>
      <c r="AA21" s="5"/>
      <c r="AB21" s="5"/>
      <c r="AC21" s="226" t="s">
        <v>1329</v>
      </c>
      <c r="AD21" s="552">
        <f>+K21/25.4</f>
        <v>14.960629921259843</v>
      </c>
      <c r="AE21" s="5"/>
      <c r="AF21" s="5"/>
      <c r="AG21" s="226" t="s">
        <v>1303</v>
      </c>
      <c r="AH21" s="553">
        <f>+O20/25.4</f>
        <v>0.98425196850393704</v>
      </c>
      <c r="AI21" s="5"/>
      <c r="AJ21" s="5"/>
    </row>
    <row r="22" spans="1:36" ht="19.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26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x14ac:dyDescent="0.2">
      <c r="A23" s="226" t="s">
        <v>1331</v>
      </c>
      <c r="B23" s="389">
        <f>'Design Conditions'!G13</f>
        <v>0.15</v>
      </c>
      <c r="C23" s="5" t="s">
        <v>1332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226" t="s">
        <v>1333</v>
      </c>
      <c r="P23" s="554">
        <f>B15</f>
        <v>18000</v>
      </c>
      <c r="Q23" s="5"/>
      <c r="R23" s="5"/>
      <c r="S23" s="226" t="s">
        <v>1331</v>
      </c>
      <c r="T23" s="390">
        <f>B23*14.5</f>
        <v>2.1749999999999998</v>
      </c>
      <c r="U23" s="64" t="s">
        <v>1334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x14ac:dyDescent="0.2">
      <c r="A24" s="226" t="s">
        <v>1335</v>
      </c>
      <c r="B24" s="555">
        <f>B23*1.25</f>
        <v>0.1875</v>
      </c>
      <c r="C24" s="5" t="s">
        <v>1336</v>
      </c>
      <c r="D24" s="5"/>
      <c r="E24" s="5"/>
      <c r="F24" s="5"/>
      <c r="G24" s="5"/>
      <c r="H24" s="5"/>
      <c r="I24" s="226" t="s">
        <v>1337</v>
      </c>
      <c r="J24" s="549">
        <f>B21</f>
        <v>140</v>
      </c>
      <c r="K24" s="5"/>
      <c r="L24" s="5"/>
      <c r="M24" s="5"/>
      <c r="N24" s="5"/>
      <c r="O24" s="5"/>
      <c r="P24" s="5"/>
      <c r="Q24" s="5"/>
      <c r="R24" s="5"/>
      <c r="S24" s="226" t="s">
        <v>1335</v>
      </c>
      <c r="T24" s="390">
        <f>B24*14.5</f>
        <v>2.71875</v>
      </c>
      <c r="U24" s="64" t="s">
        <v>1338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226" t="s">
        <v>1333</v>
      </c>
      <c r="AI24" s="556">
        <f>+T15</f>
        <v>708.66141732283472</v>
      </c>
      <c r="AJ24" s="5"/>
    </row>
    <row r="25" spans="1:36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226" t="s">
        <v>1337</v>
      </c>
      <c r="AC25" s="557">
        <f>+J24/25.4</f>
        <v>5.5118110236220472</v>
      </c>
      <c r="AD25" s="5"/>
      <c r="AE25" s="5"/>
      <c r="AF25" s="5"/>
      <c r="AG25" s="5"/>
      <c r="AH25" s="5"/>
      <c r="AI25" s="5"/>
      <c r="AJ25" s="5"/>
    </row>
    <row r="26" spans="1:36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18" customHeight="1" x14ac:dyDescent="0.25">
      <c r="A27" s="134" t="s">
        <v>1339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341" t="s">
        <v>1340</v>
      </c>
      <c r="N27" s="265">
        <f>90-K32</f>
        <v>34.905333895906217</v>
      </c>
      <c r="O27" s="5"/>
      <c r="P27" s="5"/>
      <c r="Q27" s="5"/>
      <c r="R27" s="5"/>
      <c r="S27" s="134" t="s">
        <v>1339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ht="18" customHeight="1" x14ac:dyDescent="0.25">
      <c r="A28" s="134" t="s">
        <v>1341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58"/>
      <c r="O28" s="558"/>
      <c r="P28" s="558"/>
      <c r="Q28" s="5"/>
      <c r="R28" s="5"/>
      <c r="S28" s="134" t="s">
        <v>1341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341" t="s">
        <v>1340</v>
      </c>
      <c r="AG28" s="550">
        <f>+N27</f>
        <v>34.905333895906217</v>
      </c>
      <c r="AH28" s="5"/>
      <c r="AI28" s="5"/>
      <c r="AJ28" s="5"/>
    </row>
    <row r="29" spans="1:36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58"/>
      <c r="AH29" s="558"/>
      <c r="AI29" s="558"/>
      <c r="AJ29" s="5"/>
    </row>
    <row r="30" spans="1:36" x14ac:dyDescent="0.2">
      <c r="A30" s="226" t="s">
        <v>1314</v>
      </c>
      <c r="B30" s="418">
        <f>0.6*( B16*B14)^(1/2)</f>
        <v>172.2324011328879</v>
      </c>
      <c r="C30" s="5" t="s">
        <v>247</v>
      </c>
      <c r="D30" s="5" t="s">
        <v>1342</v>
      </c>
      <c r="E30" s="5"/>
      <c r="F30" s="5"/>
      <c r="G30" s="5"/>
      <c r="H30" s="5"/>
      <c r="I30" s="5"/>
      <c r="J30" s="5"/>
      <c r="K30" s="248"/>
      <c r="L30" s="5"/>
      <c r="M30" s="5"/>
      <c r="N30" s="5"/>
      <c r="O30" s="5"/>
      <c r="P30" s="5"/>
      <c r="Q30" s="5"/>
      <c r="R30" s="5"/>
      <c r="S30" s="226" t="s">
        <v>1314</v>
      </c>
      <c r="T30" s="418">
        <f>B30/25.4</f>
        <v>6.7808031942081852</v>
      </c>
      <c r="U30" s="64" t="s">
        <v>248</v>
      </c>
      <c r="V30" s="5" t="s">
        <v>1342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x14ac:dyDescent="0.2">
      <c r="A31" s="226" t="s">
        <v>1324</v>
      </c>
      <c r="B31" s="418">
        <f>0.6*(B18*B15)^(1/2)</f>
        <v>402.49223594996215</v>
      </c>
      <c r="C31" s="5" t="s">
        <v>247</v>
      </c>
      <c r="D31" s="5" t="s">
        <v>1343</v>
      </c>
      <c r="E31" s="5"/>
      <c r="F31" s="5"/>
      <c r="G31" s="5"/>
      <c r="H31" s="5"/>
      <c r="I31" s="5"/>
      <c r="J31" s="5"/>
      <c r="K31" s="5"/>
      <c r="L31" s="5"/>
      <c r="M31" s="14" t="s">
        <v>1344</v>
      </c>
      <c r="N31" s="559">
        <f>B30</f>
        <v>172.2324011328879</v>
      </c>
      <c r="O31" s="5"/>
      <c r="P31" s="5"/>
      <c r="Q31" s="5"/>
      <c r="R31" s="5"/>
      <c r="S31" s="226" t="s">
        <v>1324</v>
      </c>
      <c r="T31" s="418">
        <f>B31/25.4</f>
        <v>15.846151021652053</v>
      </c>
      <c r="U31" s="64" t="s">
        <v>248</v>
      </c>
      <c r="V31" s="5" t="s">
        <v>1343</v>
      </c>
      <c r="W31" s="5"/>
      <c r="X31" s="5"/>
      <c r="Y31" s="5"/>
      <c r="Z31" s="5"/>
      <c r="AA31" s="5"/>
      <c r="AB31" s="5"/>
      <c r="AC31" s="5"/>
      <c r="AD31" s="248"/>
      <c r="AE31" s="5"/>
      <c r="AF31" s="5"/>
      <c r="AG31" s="5"/>
      <c r="AH31" s="5"/>
      <c r="AI31" s="5"/>
      <c r="AJ31" s="5"/>
    </row>
    <row r="32" spans="1:36" x14ac:dyDescent="0.2">
      <c r="A32" s="5"/>
      <c r="B32" s="5"/>
      <c r="C32" s="5"/>
      <c r="D32" s="5"/>
      <c r="E32" s="5"/>
      <c r="F32" s="5"/>
      <c r="G32" s="5"/>
      <c r="H32" s="5"/>
      <c r="I32" s="5"/>
      <c r="J32" s="226" t="s">
        <v>1345</v>
      </c>
      <c r="K32" s="550">
        <f>ASIN(B39)*180/PI()</f>
        <v>55.094666104093783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226"/>
      <c r="AC32" s="5"/>
      <c r="AD32" s="5"/>
      <c r="AE32" s="5"/>
      <c r="AF32" s="14" t="s">
        <v>1344</v>
      </c>
      <c r="AG32" s="552">
        <f>+N31/25.4</f>
        <v>6.7808031942081852</v>
      </c>
      <c r="AH32" s="5"/>
      <c r="AI32" s="5"/>
      <c r="AJ32" s="5"/>
    </row>
    <row r="33" spans="1:36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226" t="s">
        <v>1345</v>
      </c>
      <c r="AD33" s="550">
        <f>+K32</f>
        <v>55.094666104093783</v>
      </c>
      <c r="AE33" s="5"/>
      <c r="AF33" s="5"/>
      <c r="AG33" s="5"/>
      <c r="AH33" s="5"/>
      <c r="AI33" s="5"/>
      <c r="AJ33" s="5"/>
    </row>
    <row r="34" spans="1:36" x14ac:dyDescent="0.2">
      <c r="A34" s="5"/>
      <c r="B34" s="5"/>
      <c r="C34" s="5"/>
      <c r="D34" s="5"/>
      <c r="E34" s="5"/>
      <c r="F34" s="5"/>
      <c r="G34" s="5"/>
      <c r="H34" s="5"/>
      <c r="I34" s="5"/>
      <c r="J34" s="226" t="s">
        <v>1346</v>
      </c>
      <c r="K34" s="551">
        <f>B16</f>
        <v>8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226"/>
      <c r="AC34" s="5"/>
      <c r="AD34" s="5"/>
      <c r="AE34" s="5"/>
      <c r="AF34" s="5"/>
      <c r="AG34" s="5"/>
      <c r="AH34" s="5"/>
      <c r="AI34" s="5"/>
      <c r="AJ34" s="5"/>
    </row>
    <row r="35" spans="1:36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26" t="s">
        <v>1347</v>
      </c>
      <c r="O35" s="554">
        <f>B14</f>
        <v>10300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226" t="s">
        <v>1346</v>
      </c>
      <c r="AD35" s="553">
        <f>+K34/25.4</f>
        <v>0.31496062992125984</v>
      </c>
      <c r="AE35" s="5"/>
      <c r="AF35" s="5"/>
      <c r="AG35" s="5"/>
      <c r="AH35" s="5"/>
      <c r="AI35" s="5"/>
      <c r="AJ35" s="5"/>
    </row>
    <row r="36" spans="1:36" ht="18" customHeight="1" x14ac:dyDescent="0.25">
      <c r="A36" s="420" t="s">
        <v>1348</v>
      </c>
      <c r="B36" s="560"/>
      <c r="C36" s="134"/>
      <c r="D36" s="13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420" t="s">
        <v>1348</v>
      </c>
      <c r="T36" s="560"/>
      <c r="U36" s="134"/>
      <c r="V36" s="134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226" t="s">
        <v>1347</v>
      </c>
      <c r="AH36" s="556">
        <f>+T14</f>
        <v>405.51181102362204</v>
      </c>
      <c r="AI36" s="5"/>
      <c r="AJ36" s="5"/>
    </row>
    <row r="37" spans="1:36" ht="18" customHeight="1" x14ac:dyDescent="0.25">
      <c r="A37" s="420"/>
      <c r="B37" s="560"/>
      <c r="C37" s="134"/>
      <c r="D37" s="13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420"/>
      <c r="T37" s="560"/>
      <c r="U37" s="134"/>
      <c r="V37" s="134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x14ac:dyDescent="0.2">
      <c r="A38" s="226" t="s">
        <v>1349</v>
      </c>
      <c r="B38" s="263">
        <f>B16*B30+(B21+MIN(B31,B20))*B18</f>
        <v>10877.859209063103</v>
      </c>
      <c r="C38" s="5" t="s">
        <v>334</v>
      </c>
      <c r="D38" s="5" t="s">
        <v>1350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226" t="s">
        <v>1349</v>
      </c>
      <c r="T38" s="418">
        <f>B38/(25.4*25.4)</f>
        <v>16.8607154954788</v>
      </c>
      <c r="U38" s="64" t="s">
        <v>1174</v>
      </c>
      <c r="V38" s="5" t="s">
        <v>1350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ht="14.25" customHeight="1" x14ac:dyDescent="0.2">
      <c r="A39" s="341" t="s">
        <v>1351</v>
      </c>
      <c r="B39" s="332">
        <f>(1-(B14/B15)^2)^0.5</f>
        <v>0.82009860894593756</v>
      </c>
      <c r="C39" s="5"/>
      <c r="D39" s="248" t="s">
        <v>1352</v>
      </c>
      <c r="E39" s="5"/>
      <c r="F39" s="5"/>
      <c r="G39" s="5"/>
      <c r="H39" s="5"/>
      <c r="I39" s="5"/>
      <c r="J39" s="5"/>
      <c r="K39" s="5"/>
      <c r="L39" s="5"/>
      <c r="M39" s="5">
        <f>L19*COS((90-K32)*PI()/180)</f>
        <v>196.82366614702502</v>
      </c>
      <c r="N39" s="5"/>
      <c r="O39" s="5"/>
      <c r="P39" s="5"/>
      <c r="Q39" s="5"/>
      <c r="R39" s="5"/>
      <c r="S39" s="341" t="s">
        <v>1351</v>
      </c>
      <c r="T39" s="332">
        <f>(1-(T14/T15)^2)^0.5</f>
        <v>0.82009860894593756</v>
      </c>
      <c r="U39" s="5"/>
      <c r="V39" s="248" t="s">
        <v>1352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x14ac:dyDescent="0.2">
      <c r="A40" s="226" t="s">
        <v>1090</v>
      </c>
      <c r="B40" s="306">
        <f>PI()*(B14/1000)^2</f>
        <v>333.29156461934122</v>
      </c>
      <c r="C40" s="5" t="s">
        <v>688</v>
      </c>
      <c r="D40" s="5" t="s">
        <v>1353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226" t="s">
        <v>1090</v>
      </c>
      <c r="T40" s="418">
        <f>B40/(25.4*25.4)*1000000</f>
        <v>516602.95836589567</v>
      </c>
      <c r="U40" s="64" t="s">
        <v>1174</v>
      </c>
      <c r="V40" s="5" t="s">
        <v>1353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x14ac:dyDescent="0.2">
      <c r="A41" s="226" t="s">
        <v>1354</v>
      </c>
      <c r="B41" s="306">
        <f>B18*32</f>
        <v>800</v>
      </c>
      <c r="C41" s="5" t="s">
        <v>247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226" t="s">
        <v>1354</v>
      </c>
      <c r="T41" s="418">
        <f>B41/25.4</f>
        <v>31.496062992125985</v>
      </c>
      <c r="U41" s="64" t="s">
        <v>248</v>
      </c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x14ac:dyDescent="0.2">
      <c r="A42" s="341" t="s">
        <v>1355</v>
      </c>
      <c r="B42" s="332">
        <f>+COS(K32*PI()/180)</f>
        <v>0.57222222222222219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341" t="s">
        <v>1355</v>
      </c>
      <c r="T42" s="332">
        <f>+B42</f>
        <v>0.57222222222222219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18" customHeight="1" x14ac:dyDescent="0.25">
      <c r="A44" s="134" t="s">
        <v>1356</v>
      </c>
      <c r="B44" s="134"/>
      <c r="C44" s="134"/>
      <c r="D44" s="5"/>
      <c r="E44" s="134"/>
      <c r="F44" s="13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34" t="s">
        <v>1356</v>
      </c>
      <c r="T44" s="134"/>
      <c r="U44" s="134"/>
      <c r="V44" s="5"/>
      <c r="W44" s="134"/>
      <c r="X44" s="134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2">
      <c r="A46" s="5"/>
      <c r="B46" s="5" t="s">
        <v>1357</v>
      </c>
      <c r="C46" s="5" t="s">
        <v>1358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289" t="s">
        <v>1357</v>
      </c>
      <c r="U46" s="289" t="s">
        <v>1358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2">
      <c r="A47" s="5"/>
      <c r="B47" s="5" t="s">
        <v>1359</v>
      </c>
      <c r="C47" s="5" t="s">
        <v>1360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289" t="s">
        <v>1359</v>
      </c>
      <c r="U47" s="289" t="s">
        <v>1360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2">
      <c r="A48" s="14" t="s">
        <v>1002</v>
      </c>
      <c r="B48" s="418">
        <f>$B$15/(2*1000)*(B23*100000-$B$13*9.8/$B$40)</f>
        <v>113806.86890587007</v>
      </c>
      <c r="C48" s="418">
        <f>$B$15/2/1000*(B24*100000-$B$13*9.8/$B$40)</f>
        <v>147556.86890587007</v>
      </c>
      <c r="D48" s="248" t="s">
        <v>1361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402" t="s">
        <v>1002</v>
      </c>
      <c r="T48" s="419">
        <f t="shared" ref="T48:U50" si="1">B48*0.0057</f>
        <v>648.69915276345944</v>
      </c>
      <c r="U48" s="419">
        <f t="shared" si="1"/>
        <v>841.07415276345944</v>
      </c>
      <c r="V48" s="69" t="s">
        <v>1362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">
      <c r="A49" s="14" t="s">
        <v>1003</v>
      </c>
      <c r="B49" s="418">
        <f>$B$15/1000*B23*100000-B48</f>
        <v>156193.13109412993</v>
      </c>
      <c r="C49" s="418">
        <f>$B$15/1000*B24*100000-C48</f>
        <v>189943.13109412993</v>
      </c>
      <c r="D49" s="5" t="s">
        <v>1363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402" t="s">
        <v>1003</v>
      </c>
      <c r="T49" s="419">
        <f t="shared" si="1"/>
        <v>890.30084723654068</v>
      </c>
      <c r="U49" s="419">
        <f t="shared" si="1"/>
        <v>1082.6758472365407</v>
      </c>
      <c r="V49" s="64" t="s">
        <v>1364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14" t="s">
        <v>1365</v>
      </c>
      <c r="B50" s="14">
        <f>$B$14/1000*B23*100000</f>
        <v>154500.00000000003</v>
      </c>
      <c r="C50" s="14">
        <f>$B$14/1000*B24*100000</f>
        <v>193125</v>
      </c>
      <c r="D50" s="5" t="s">
        <v>1366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402" t="s">
        <v>1365</v>
      </c>
      <c r="T50" s="419">
        <f t="shared" si="1"/>
        <v>880.6500000000002</v>
      </c>
      <c r="U50" s="419">
        <f t="shared" si="1"/>
        <v>1100.8125</v>
      </c>
      <c r="V50" s="64" t="s">
        <v>1367</v>
      </c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">
      <c r="A52" s="118"/>
      <c r="B52" s="118"/>
      <c r="C52" s="118"/>
      <c r="D52" s="118"/>
      <c r="E52" s="118"/>
      <c r="F52" s="118"/>
      <c r="G52" s="118"/>
      <c r="H52" s="118"/>
      <c r="I52" s="118"/>
      <c r="J52" s="5"/>
      <c r="K52" s="5"/>
      <c r="L52" s="5"/>
      <c r="M52" s="5"/>
      <c r="N52" s="5"/>
      <c r="O52" s="5"/>
      <c r="P52" s="5"/>
      <c r="Q52" s="5"/>
      <c r="R52" s="5"/>
      <c r="S52" s="118"/>
      <c r="T52" s="118"/>
      <c r="U52" s="118"/>
      <c r="V52" s="118"/>
      <c r="W52" s="118"/>
      <c r="X52" s="118"/>
      <c r="Y52" s="118"/>
      <c r="Z52" s="118"/>
      <c r="AA52" s="118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3.5" customHeight="1" thickBot="1" x14ac:dyDescent="0.25">
      <c r="A55" s="5"/>
      <c r="B55" s="5"/>
      <c r="C55" s="5"/>
      <c r="D55" s="5"/>
      <c r="E55" s="5"/>
      <c r="F55" s="5"/>
      <c r="G55" s="5"/>
      <c r="H55" s="5"/>
      <c r="I55" s="5"/>
      <c r="J55" s="26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265"/>
      <c r="AC55" s="5"/>
      <c r="AD55" s="5"/>
      <c r="AE55" s="5"/>
      <c r="AF55" s="5"/>
      <c r="AG55" s="5"/>
      <c r="AH55" s="5"/>
      <c r="AI55" s="5"/>
      <c r="AJ55" s="5"/>
    </row>
    <row r="56" spans="1:36" ht="17.25" customHeight="1" thickTop="1" thickBot="1" x14ac:dyDescent="0.3">
      <c r="A56" s="822"/>
      <c r="B56" s="823"/>
      <c r="C56" s="824"/>
      <c r="D56" s="913" t="str">
        <f>'Front Page'!$A$13</f>
        <v>Mechanical  Calculations</v>
      </c>
      <c r="E56" s="842"/>
      <c r="F56" s="842"/>
      <c r="G56" s="842"/>
      <c r="H56" s="842"/>
      <c r="I56" s="843"/>
      <c r="J56" s="265"/>
      <c r="K56" s="5"/>
      <c r="L56" s="5"/>
      <c r="M56" s="5"/>
      <c r="N56" s="5"/>
      <c r="O56" s="5"/>
      <c r="P56" s="5"/>
      <c r="Q56" s="5"/>
      <c r="R56" s="5"/>
      <c r="S56" s="822"/>
      <c r="T56" s="823"/>
      <c r="U56" s="824"/>
      <c r="V56" s="913" t="str">
        <f>'Front Page'!$A$13</f>
        <v>Mechanical  Calculations</v>
      </c>
      <c r="W56" s="842"/>
      <c r="X56" s="842"/>
      <c r="Y56" s="842"/>
      <c r="Z56" s="842"/>
      <c r="AA56" s="843"/>
      <c r="AB56" s="561">
        <f>M39/25.4</f>
        <v>7.7489632341348438</v>
      </c>
      <c r="AC56" s="5"/>
      <c r="AD56" s="5"/>
      <c r="AE56" s="5"/>
      <c r="AF56" s="5"/>
      <c r="AG56" s="5"/>
      <c r="AH56" s="5"/>
      <c r="AI56" s="5"/>
      <c r="AJ56" s="5"/>
    </row>
    <row r="57" spans="1:36" ht="16.5" customHeight="1" thickBot="1" x14ac:dyDescent="0.3">
      <c r="A57" s="825"/>
      <c r="B57" s="809"/>
      <c r="C57" s="826"/>
      <c r="D57" s="839"/>
      <c r="E57" s="831"/>
      <c r="F57" s="831"/>
      <c r="G57" s="831"/>
      <c r="H57" s="831"/>
      <c r="I57" s="832"/>
      <c r="J57" s="5"/>
      <c r="K57" s="5"/>
      <c r="L57" s="5"/>
      <c r="M57" s="5"/>
      <c r="N57" s="5"/>
      <c r="O57" s="5"/>
      <c r="P57" s="5"/>
      <c r="Q57" s="5"/>
      <c r="R57" s="5"/>
      <c r="S57" s="825"/>
      <c r="T57" s="809"/>
      <c r="U57" s="826"/>
      <c r="V57" s="839"/>
      <c r="W57" s="831"/>
      <c r="X57" s="831"/>
      <c r="Y57" s="831"/>
      <c r="Z57" s="831"/>
      <c r="AA57" s="832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16.5" customHeight="1" thickBot="1" x14ac:dyDescent="0.3">
      <c r="A58" s="827"/>
      <c r="B58" s="828"/>
      <c r="C58" s="829"/>
      <c r="D58" s="839" t="s">
        <v>1368</v>
      </c>
      <c r="E58" s="831"/>
      <c r="F58" s="831"/>
      <c r="G58" s="831"/>
      <c r="H58" s="831"/>
      <c r="I58" s="832"/>
      <c r="J58" s="5"/>
      <c r="K58" s="5"/>
      <c r="L58" s="5"/>
      <c r="M58" s="5"/>
      <c r="N58" s="5"/>
      <c r="O58" s="5"/>
      <c r="P58" s="5"/>
      <c r="Q58" s="5"/>
      <c r="R58" s="5"/>
      <c r="S58" s="827"/>
      <c r="T58" s="828"/>
      <c r="U58" s="829"/>
      <c r="V58" s="839" t="s">
        <v>1300</v>
      </c>
      <c r="W58" s="831"/>
      <c r="X58" s="831"/>
      <c r="Y58" s="831"/>
      <c r="Z58" s="831"/>
      <c r="AA58" s="832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15.75" customHeight="1" thickBot="1" x14ac:dyDescent="0.3">
      <c r="A59" s="830"/>
      <c r="B59" s="831"/>
      <c r="C59" s="832"/>
      <c r="D59" s="915" t="str">
        <f>'Front Page'!$D$4</f>
        <v>Doc Nº</v>
      </c>
      <c r="E59" s="832"/>
      <c r="F59" s="846"/>
      <c r="G59" s="832"/>
      <c r="H59" s="33"/>
      <c r="I59" s="544"/>
      <c r="J59" s="5"/>
      <c r="K59" s="5"/>
      <c r="L59" s="5"/>
      <c r="M59" s="5"/>
      <c r="N59" s="5"/>
      <c r="O59" s="5"/>
      <c r="P59" s="5"/>
      <c r="Q59" s="5"/>
      <c r="R59" s="5"/>
      <c r="S59" s="830"/>
      <c r="T59" s="831"/>
      <c r="U59" s="832"/>
      <c r="V59" s="915" t="str">
        <f>'Front Page'!$D$4</f>
        <v>Doc Nº</v>
      </c>
      <c r="W59" s="832"/>
      <c r="X59" s="846"/>
      <c r="Y59" s="832"/>
      <c r="Z59" s="33"/>
      <c r="AA59" s="544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15.75" customHeight="1" thickBot="1" x14ac:dyDescent="0.3">
      <c r="A60" s="987"/>
      <c r="B60" s="834"/>
      <c r="C60" s="835"/>
      <c r="D60" s="914" t="str">
        <f>'Front Page'!$D$5</f>
        <v>Project</v>
      </c>
      <c r="E60" s="835"/>
      <c r="F60" s="899"/>
      <c r="G60" s="835"/>
      <c r="H60" s="131" t="s">
        <v>5</v>
      </c>
      <c r="I60" s="132"/>
      <c r="J60" s="5"/>
      <c r="K60" s="5"/>
      <c r="L60" s="5"/>
      <c r="M60" s="5"/>
      <c r="N60" s="5"/>
      <c r="O60" s="5"/>
      <c r="P60" s="5"/>
      <c r="Q60" s="5"/>
      <c r="R60" s="5"/>
      <c r="S60" s="987"/>
      <c r="T60" s="834"/>
      <c r="U60" s="835"/>
      <c r="V60" s="914" t="str">
        <f>'Front Page'!$D$5</f>
        <v>Project</v>
      </c>
      <c r="W60" s="835"/>
      <c r="X60" s="899"/>
      <c r="Y60" s="835"/>
      <c r="Z60" s="131" t="s">
        <v>5</v>
      </c>
      <c r="AA60" s="427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13.5" customHeight="1" thickTop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8" customHeight="1" x14ac:dyDescent="0.25">
      <c r="A63" s="134" t="s">
        <v>1369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34" t="s">
        <v>1369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8" customHeight="1" x14ac:dyDescent="0.25">
      <c r="A64" s="134" t="s">
        <v>1370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34" t="s">
        <v>1370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8" customHeight="1" x14ac:dyDescent="0.25">
      <c r="A65" s="13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34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8" customHeight="1" x14ac:dyDescent="0.25">
      <c r="A66" s="134"/>
      <c r="B66" s="5" t="s">
        <v>1371</v>
      </c>
      <c r="C66" s="5" t="s">
        <v>1358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34"/>
      <c r="T66" s="5" t="s">
        <v>1371</v>
      </c>
      <c r="U66" s="5" t="s">
        <v>1358</v>
      </c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">
      <c r="A67" s="5"/>
      <c r="B67" s="5" t="s">
        <v>1359</v>
      </c>
      <c r="C67" s="5" t="s">
        <v>1360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 t="s">
        <v>1359</v>
      </c>
      <c r="U67" s="5" t="s">
        <v>1360</v>
      </c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">
      <c r="A68" s="14" t="s">
        <v>1372</v>
      </c>
      <c r="B68" s="562">
        <f>-B48*B14/1000*B39+((B49*MIN(B31,B20)/1000)+B50*B30/1000)</f>
        <v>-897232.14780780359</v>
      </c>
      <c r="C68" s="562">
        <f>-C48*B14/1000*B39+((C49*MIN(B20,B31)/1000)+C50*B30/1000)</f>
        <v>-1167566.4502488775</v>
      </c>
      <c r="D68" s="5" t="s">
        <v>1373</v>
      </c>
      <c r="E68" s="14"/>
      <c r="F68" s="5"/>
      <c r="G68" s="5"/>
      <c r="H68" s="5"/>
      <c r="I68" s="5"/>
      <c r="J68" s="5"/>
      <c r="K68" s="5"/>
      <c r="L68" s="5"/>
      <c r="M68" s="265"/>
      <c r="N68" s="306"/>
      <c r="O68" s="5"/>
      <c r="P68" s="5"/>
      <c r="Q68" s="5"/>
      <c r="R68" s="5"/>
      <c r="S68" s="14" t="s">
        <v>1372</v>
      </c>
      <c r="T68" s="562">
        <f>B68</f>
        <v>-897232.14780780359</v>
      </c>
      <c r="U68" s="562">
        <f>C68</f>
        <v>-1167566.4502488775</v>
      </c>
      <c r="V68" s="5" t="s">
        <v>1373</v>
      </c>
      <c r="W68" s="14"/>
      <c r="X68" s="5"/>
      <c r="Y68" s="5"/>
      <c r="Z68" s="5"/>
      <c r="AA68" s="5"/>
      <c r="AB68" s="5"/>
      <c r="AC68" s="5"/>
      <c r="AD68" s="5"/>
      <c r="AE68" s="265"/>
      <c r="AF68" s="306"/>
      <c r="AG68" s="5"/>
      <c r="AH68" s="5"/>
      <c r="AI68" s="5"/>
      <c r="AJ68" s="5"/>
    </row>
    <row r="69" spans="1:36" x14ac:dyDescent="0.2">
      <c r="A69" s="14" t="s">
        <v>1374</v>
      </c>
      <c r="B69" s="562">
        <f>-B68/(B38)</f>
        <v>82.482419616192217</v>
      </c>
      <c r="C69" s="562">
        <f>-C68/(B38)</f>
        <v>107.33421234907108</v>
      </c>
      <c r="D69" s="5" t="s">
        <v>1375</v>
      </c>
      <c r="E69" s="14"/>
      <c r="F69" s="5"/>
      <c r="G69" s="5"/>
      <c r="H69" s="5"/>
      <c r="I69" s="5"/>
      <c r="J69" s="5"/>
      <c r="K69" s="5"/>
      <c r="L69" s="5"/>
      <c r="M69" s="5"/>
      <c r="N69" s="5"/>
      <c r="O69" s="306"/>
      <c r="P69" s="5"/>
      <c r="Q69" s="5"/>
      <c r="R69" s="5"/>
      <c r="S69" s="14" t="s">
        <v>1374</v>
      </c>
      <c r="T69" s="562">
        <f>B69*145.04</f>
        <v>11963.250141132519</v>
      </c>
      <c r="U69" s="562">
        <f>C69*145.04</f>
        <v>15567.754159109269</v>
      </c>
      <c r="V69" s="64" t="s">
        <v>1376</v>
      </c>
      <c r="W69" s="14"/>
      <c r="X69" s="5"/>
      <c r="Y69" s="5"/>
      <c r="Z69" s="5"/>
      <c r="AA69" s="5"/>
      <c r="AB69" s="5"/>
      <c r="AC69" s="5"/>
      <c r="AD69" s="5"/>
      <c r="AE69" s="5"/>
      <c r="AF69" s="5"/>
      <c r="AG69" s="306"/>
      <c r="AH69" s="5"/>
      <c r="AI69" s="5"/>
      <c r="AJ69" s="5"/>
    </row>
    <row r="70" spans="1:36" x14ac:dyDescent="0.2">
      <c r="A70" s="5" t="s">
        <v>1377</v>
      </c>
      <c r="B70" s="260">
        <f>IF(B68&lt;0,((-B68/0.453/9.8)/15000)*(25.4^2),((B68/0.453/9.8)/15000)*(25.4^2))</f>
        <v>8692.7406478305256</v>
      </c>
      <c r="C70" s="260">
        <f>IF(C68&lt;0,((-C68/0.453/9.8)/18000)*(25.4^2),((C68/0.453/9.8)/18000)*(25.4^2))</f>
        <v>9426.5387595241318</v>
      </c>
      <c r="D70" s="5" t="s">
        <v>1378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 t="s">
        <v>1377</v>
      </c>
      <c r="T70" s="418">
        <f>B70/(25.4*25.4)</f>
        <v>13.473774951687219</v>
      </c>
      <c r="U70" s="418">
        <f>C70/(25.4*25.4)</f>
        <v>14.611164299591005</v>
      </c>
      <c r="V70" s="64" t="s">
        <v>1379</v>
      </c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ht="18" customHeight="1" x14ac:dyDescent="0.25">
      <c r="A73" s="13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34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">
      <c r="A74" s="5"/>
      <c r="B74" s="5"/>
      <c r="C74" s="5"/>
      <c r="D74" s="5"/>
      <c r="E74" s="5"/>
      <c r="F74" s="5"/>
      <c r="G74" s="5"/>
      <c r="H74" s="5"/>
      <c r="I74" s="5"/>
      <c r="J74" s="563" t="str">
        <f>IF(K74&gt;1,"OK","ERROR")</f>
        <v>ERROR</v>
      </c>
      <c r="K74" s="5">
        <f>B20/B31</f>
        <v>0.59628479399994394</v>
      </c>
      <c r="L74" s="248" t="s">
        <v>1380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63" t="str">
        <f>IF(AC74&gt;1,"OK","ERROR")</f>
        <v>ERROR</v>
      </c>
      <c r="AC74" s="5">
        <f>T20/T31</f>
        <v>0.59628479399994394</v>
      </c>
      <c r="AD74" s="248" t="s">
        <v>1380</v>
      </c>
      <c r="AE74" s="5"/>
      <c r="AF74" s="5"/>
      <c r="AG74" s="5"/>
      <c r="AH74" s="5"/>
      <c r="AI74" s="5"/>
      <c r="AJ74" s="5"/>
    </row>
    <row r="75" spans="1:3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ht="18" customHeight="1" x14ac:dyDescent="0.25">
      <c r="A76" s="420" t="s">
        <v>942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420" t="s">
        <v>942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">
      <c r="A78" s="563" t="str">
        <f>IF(B78&gt;1,"OK","ERROR")</f>
        <v>OK</v>
      </c>
      <c r="B78" s="5">
        <f>B17/B30</f>
        <v>1.7418325357290441</v>
      </c>
      <c r="C78" s="248" t="s">
        <v>1381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63" t="str">
        <f>IF(T78&gt;1,"OK","ERROR")</f>
        <v>OK</v>
      </c>
      <c r="T78" s="265">
        <f>T17/T30</f>
        <v>1.7418325357290441</v>
      </c>
      <c r="U78" s="248" t="s">
        <v>1381</v>
      </c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">
      <c r="A79" s="563" t="str">
        <f>IF(B79&gt;1,"OK","ERROR")</f>
        <v>OK</v>
      </c>
      <c r="B79" s="5">
        <f>B38/B70</f>
        <v>1.2513728005652538</v>
      </c>
      <c r="C79" s="5" t="s">
        <v>1382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63" t="str">
        <f>IF(T79&gt;1,"OK","ERROR")</f>
        <v>OK</v>
      </c>
      <c r="T79" s="265">
        <f>T38/T70</f>
        <v>1.2513728005652536</v>
      </c>
      <c r="U79" s="5" t="s">
        <v>1382</v>
      </c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">
      <c r="A80" s="563" t="str">
        <f>IF(B80&gt;1,"OK","ERROR")</f>
        <v>OK</v>
      </c>
      <c r="B80" s="5">
        <f>B38/C70</f>
        <v>1.1539611183450156</v>
      </c>
      <c r="C80" s="1003" t="s">
        <v>1383</v>
      </c>
      <c r="D80" s="809"/>
      <c r="E80" s="809"/>
      <c r="F80" s="809"/>
      <c r="G80" s="809"/>
      <c r="H80" s="809"/>
      <c r="I80" s="809"/>
      <c r="J80" s="5"/>
      <c r="K80" s="5"/>
      <c r="L80" s="5"/>
      <c r="M80" s="5"/>
      <c r="N80" s="5"/>
      <c r="O80" s="5"/>
      <c r="P80" s="5"/>
      <c r="Q80" s="5"/>
      <c r="R80" s="5"/>
      <c r="S80" s="563" t="str">
        <f>IF(T80&gt;1,"OK","ERROR")</f>
        <v>OK</v>
      </c>
      <c r="T80" s="265">
        <f>T38/U70</f>
        <v>1.1539611183450154</v>
      </c>
      <c r="U80" s="1003" t="s">
        <v>1383</v>
      </c>
      <c r="V80" s="809"/>
      <c r="W80" s="809"/>
      <c r="X80" s="809"/>
      <c r="Y80" s="809"/>
      <c r="Z80" s="809"/>
      <c r="AA80" s="809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">
      <c r="A81" s="5"/>
      <c r="B81" s="5"/>
      <c r="C81" s="809"/>
      <c r="D81" s="809"/>
      <c r="E81" s="809"/>
      <c r="F81" s="809"/>
      <c r="G81" s="809"/>
      <c r="H81" s="809"/>
      <c r="I81" s="809"/>
      <c r="J81" s="5"/>
      <c r="K81" s="5"/>
      <c r="L81" s="285"/>
      <c r="M81" s="5"/>
      <c r="N81" s="5"/>
      <c r="O81" s="5"/>
      <c r="P81" s="5"/>
      <c r="Q81" s="5"/>
      <c r="R81" s="5"/>
      <c r="S81" s="5"/>
      <c r="T81" s="265"/>
      <c r="U81" s="809"/>
      <c r="V81" s="809"/>
      <c r="W81" s="809"/>
      <c r="X81" s="809"/>
      <c r="Y81" s="809"/>
      <c r="Z81" s="809"/>
      <c r="AA81" s="809"/>
      <c r="AB81" s="5"/>
      <c r="AC81" s="5"/>
      <c r="AD81" s="285"/>
      <c r="AE81" s="5"/>
      <c r="AF81" s="5"/>
      <c r="AG81" s="5"/>
      <c r="AH81" s="5"/>
      <c r="AI81" s="5"/>
      <c r="AJ81" s="5"/>
    </row>
    <row r="82" spans="1:36" x14ac:dyDescent="0.2">
      <c r="A82" s="563" t="str">
        <f>IF(B82&lt;1,"OK","ERROR")</f>
        <v>OK</v>
      </c>
      <c r="B82" s="5">
        <f>B21/B41</f>
        <v>0.17499999999999999</v>
      </c>
      <c r="C82" s="5" t="s">
        <v>1384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63" t="str">
        <f>IF(T82&lt;1,"OK","ERROR")</f>
        <v>OK</v>
      </c>
      <c r="T82" s="265">
        <f>T21/T41</f>
        <v>0.17499999999999999</v>
      </c>
      <c r="U82" s="5" t="s">
        <v>1384</v>
      </c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">
      <c r="A83" s="563" t="str">
        <f>IF(B83&lt;1,"OK","ERROR")</f>
        <v>OK</v>
      </c>
      <c r="B83" s="5">
        <f>B31/B41</f>
        <v>0.50311529493745266</v>
      </c>
      <c r="C83" s="5" t="s">
        <v>1385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332"/>
      <c r="P83" s="5"/>
      <c r="Q83" s="5"/>
      <c r="R83" s="5"/>
      <c r="S83" s="563" t="str">
        <f>IF(T83&lt;1,"OK","ERROR")</f>
        <v>OK</v>
      </c>
      <c r="T83" s="265">
        <f>T31/T41</f>
        <v>0.50311529493745266</v>
      </c>
      <c r="U83" s="5" t="s">
        <v>1385</v>
      </c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32"/>
      <c r="AH83" s="5"/>
      <c r="AI83" s="5"/>
      <c r="AJ83" s="5"/>
    </row>
    <row r="84" spans="1:3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332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32"/>
      <c r="AH84" s="5"/>
      <c r="AI84" s="5"/>
      <c r="AJ84" s="5"/>
    </row>
    <row r="85" spans="1:3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26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265"/>
      <c r="AH85" s="5"/>
      <c r="AI85" s="5"/>
      <c r="AJ85" s="5"/>
    </row>
    <row r="86" spans="1:36" ht="18" customHeight="1" x14ac:dyDescent="0.25">
      <c r="A86" s="420" t="s">
        <v>1386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306"/>
      <c r="P86" s="5"/>
      <c r="Q86" s="5"/>
      <c r="R86" s="5"/>
      <c r="S86" s="420" t="s">
        <v>1386</v>
      </c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306"/>
      <c r="AH86" s="5"/>
      <c r="AI86" s="5"/>
      <c r="AJ86" s="5"/>
    </row>
    <row r="87" spans="1:3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">
      <c r="A88" s="5"/>
      <c r="B88" s="64" t="s">
        <v>1387</v>
      </c>
      <c r="C88" s="5">
        <f>B14*0.015</f>
        <v>154.5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64" t="s">
        <v>1387</v>
      </c>
      <c r="U88" s="417">
        <f>C88/25.4</f>
        <v>6.0826771653543314</v>
      </c>
      <c r="V88" s="64" t="s">
        <v>248</v>
      </c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265"/>
      <c r="V89" s="64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">
      <c r="A90" s="5"/>
      <c r="B90" s="366" t="s">
        <v>1388</v>
      </c>
      <c r="C90" s="5">
        <f>L19*COS((90-K32)*PI()/180)</f>
        <v>196.82366614702502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64" t="s">
        <v>1388</v>
      </c>
      <c r="U90" s="417">
        <f>C90/25.4</f>
        <v>7.7489632341348438</v>
      </c>
      <c r="V90" s="64" t="s">
        <v>248</v>
      </c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">
      <c r="A92" s="5"/>
      <c r="B92" s="5"/>
      <c r="C92" s="265">
        <f>C90/C88</f>
        <v>1.2739395867121361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265">
        <f>U90/U88</f>
        <v>1.2739395867121359</v>
      </c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">
      <c r="A93" s="5"/>
      <c r="B93" s="5"/>
      <c r="C93" s="563" t="str">
        <f>IF(C92&gt;1,"OK","ERROR")</f>
        <v>OK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63" t="str">
        <f>IF(U92&gt;1,"OK","ERROR")</f>
        <v>OK</v>
      </c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ht="18" customHeight="1" x14ac:dyDescent="0.25">
      <c r="A95" s="420" t="s">
        <v>1389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420" t="s">
        <v>1390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ht="11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420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">
      <c r="A97" s="5"/>
      <c r="B97" s="64" t="s">
        <v>1391</v>
      </c>
      <c r="C97" s="306">
        <f>(B18/COS(PI()/2-K32/180*PI()))/2+(L19*COS(K32/180*PI())-J24*COS(K32/180*PI()))/2</f>
        <v>43.853180617930647</v>
      </c>
      <c r="D97" s="5"/>
      <c r="E97" s="64"/>
      <c r="F97" s="64" t="s">
        <v>1392</v>
      </c>
      <c r="G97" s="5">
        <f>B18/2*COS(N27/180*PI())+B20/2*SIN(N27/180*PI())</f>
        <v>78.917899278490864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226" t="str">
        <f t="shared" ref="T97:T103" si="2">F97</f>
        <v>ysc</v>
      </c>
      <c r="U97" s="265">
        <f>G97/25.4</f>
        <v>3.1070039086020027</v>
      </c>
      <c r="V97" s="64" t="s">
        <v>1393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">
      <c r="A98" s="5"/>
      <c r="B98" s="64" t="s">
        <v>1394</v>
      </c>
      <c r="C98" s="306">
        <f>-B30/2</f>
        <v>-86.11620056644395</v>
      </c>
      <c r="D98" s="5"/>
      <c r="E98" s="5"/>
      <c r="F98" s="64" t="s">
        <v>1395</v>
      </c>
      <c r="G98" s="5">
        <f>-J24/2*SIN(N27/180*PI())+B18/2*COS(N27/180*PI())</f>
        <v>-29.804322943731322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226" t="str">
        <f t="shared" si="2"/>
        <v>yic</v>
      </c>
      <c r="U98" s="265">
        <f>G98/25.4</f>
        <v>-1.1733985410917844</v>
      </c>
      <c r="V98" s="64" t="s">
        <v>1396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">
      <c r="A99" s="5"/>
      <c r="B99" s="64" t="s">
        <v>1397</v>
      </c>
      <c r="C99" s="564">
        <f>B19*B18</f>
        <v>9500</v>
      </c>
      <c r="D99" s="5"/>
      <c r="E99" s="5"/>
      <c r="F99" s="64" t="s">
        <v>1398</v>
      </c>
      <c r="G99" s="306">
        <f>C98</f>
        <v>-86.11620056644395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226" t="str">
        <f t="shared" si="2"/>
        <v>ys</v>
      </c>
      <c r="U99" s="265">
        <f>G99/25.4</f>
        <v>-3.3904015971040926</v>
      </c>
      <c r="V99" s="64" t="s">
        <v>1399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">
      <c r="A100" s="5"/>
      <c r="B100" s="64" t="s">
        <v>1400</v>
      </c>
      <c r="C100" s="306">
        <f>B30*B16</f>
        <v>1377.8592090631032</v>
      </c>
      <c r="D100" s="5"/>
      <c r="E100" s="5"/>
      <c r="F100" s="64" t="s">
        <v>1401</v>
      </c>
      <c r="G100" s="5">
        <f>B20*B18</f>
        <v>6000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226" t="str">
        <f t="shared" si="2"/>
        <v>Asc</v>
      </c>
      <c r="U100" s="265">
        <f>G100/(25.4*25.4)</f>
        <v>9.3000186000372</v>
      </c>
      <c r="V100" s="64" t="s">
        <v>1402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">
      <c r="A101" s="5"/>
      <c r="B101" s="64" t="s">
        <v>1403</v>
      </c>
      <c r="C101" s="5">
        <f>(C97*C99+C98*C100)/(C99+C100)</f>
        <v>27.390427670005042</v>
      </c>
      <c r="D101" s="5"/>
      <c r="E101" s="5"/>
      <c r="F101" s="64" t="s">
        <v>1404</v>
      </c>
      <c r="G101" s="5">
        <f>B21*B18</f>
        <v>3500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226" t="str">
        <f t="shared" si="2"/>
        <v>Aic</v>
      </c>
      <c r="U101" s="265">
        <f>G101/(25.4*25.4)</f>
        <v>5.4250108500217005</v>
      </c>
      <c r="V101" s="64" t="s">
        <v>1405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">
      <c r="A102" s="5"/>
      <c r="B102" s="64" t="s">
        <v>1406</v>
      </c>
      <c r="C102" s="5">
        <f>G104</f>
        <v>16.5</v>
      </c>
      <c r="D102" s="5"/>
      <c r="E102" s="5"/>
      <c r="F102" s="64" t="s">
        <v>1407</v>
      </c>
      <c r="G102" s="5">
        <f>B30*B16</f>
        <v>1377.8592090631032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226" t="str">
        <f t="shared" si="2"/>
        <v>As</v>
      </c>
      <c r="U102" s="265">
        <f>G102/(25.4*25.4)</f>
        <v>2.1356860454199009</v>
      </c>
      <c r="V102" s="64" t="s">
        <v>1408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">
      <c r="A103" s="5"/>
      <c r="B103" s="64" t="s">
        <v>1409</v>
      </c>
      <c r="C103" s="5">
        <f>C102*1.5/C101</f>
        <v>0.90360034893151575</v>
      </c>
      <c r="D103" s="5"/>
      <c r="E103" s="5"/>
      <c r="F103" s="64" t="s">
        <v>1403</v>
      </c>
      <c r="G103" s="5">
        <f>(G97*G100+G98*G101+G99*G102)/(G100+G101+G102)</f>
        <v>23.031762091491888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226" t="str">
        <f t="shared" si="2"/>
        <v>Centroid Y</v>
      </c>
      <c r="U103" s="265">
        <f>G103/25.4</f>
        <v>0.90676228706660977</v>
      </c>
      <c r="V103" s="64" t="s">
        <v>1410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">
      <c r="A104" s="5"/>
      <c r="B104" s="5"/>
      <c r="C104" s="563" t="str">
        <f>IF(C103&gt;1,"OK","ERROR")</f>
        <v>ERROR</v>
      </c>
      <c r="D104" s="5"/>
      <c r="E104" s="5"/>
      <c r="F104" s="64" t="s">
        <v>1406</v>
      </c>
      <c r="G104" s="5">
        <f>(B16+B18)/2</f>
        <v>16.5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341" t="s">
        <v>1411</v>
      </c>
      <c r="U104" s="265">
        <f>G104*1.5/25.4</f>
        <v>0.97440944881889768</v>
      </c>
      <c r="V104" s="64" t="s">
        <v>1412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">
      <c r="A105" s="5"/>
      <c r="B105" s="5"/>
      <c r="C105" s="5"/>
      <c r="D105" s="5"/>
      <c r="E105" s="5"/>
      <c r="F105" s="64" t="s">
        <v>1409</v>
      </c>
      <c r="G105" s="5">
        <f>G104*1.5/G103</f>
        <v>1.0746029722642385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226" t="str">
        <f>F105</f>
        <v>ratio</v>
      </c>
      <c r="U105" s="265">
        <f>U104/U103</f>
        <v>1.0746029722642387</v>
      </c>
      <c r="V105" s="64" t="s">
        <v>1413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">
      <c r="A106" s="5"/>
      <c r="B106" s="5"/>
      <c r="C106" s="5"/>
      <c r="D106" s="5"/>
      <c r="E106" s="5"/>
      <c r="F106" s="5"/>
      <c r="G106" s="563" t="str">
        <f>IF(G105&gt;1,"OK","ERROR")</f>
        <v>OK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63" t="str">
        <f>IF(U105&gt;1,"OK","ERROR")</f>
        <v>OK</v>
      </c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</sheetData>
  <mergeCells count="64">
    <mergeCell ref="A4:C4"/>
    <mergeCell ref="D4:E4"/>
    <mergeCell ref="F4:G4"/>
    <mergeCell ref="A1:C3"/>
    <mergeCell ref="M5:N5"/>
    <mergeCell ref="M1:R1"/>
    <mergeCell ref="M2:R2"/>
    <mergeCell ref="M3:R3"/>
    <mergeCell ref="M4:N4"/>
    <mergeCell ref="O4:P4"/>
    <mergeCell ref="J1:L3"/>
    <mergeCell ref="J4:L4"/>
    <mergeCell ref="J5:L5"/>
    <mergeCell ref="D1:I1"/>
    <mergeCell ref="D2:I2"/>
    <mergeCell ref="D3:I3"/>
    <mergeCell ref="O5:P5"/>
    <mergeCell ref="F59:G59"/>
    <mergeCell ref="D59:E59"/>
    <mergeCell ref="D5:E5"/>
    <mergeCell ref="A56:C58"/>
    <mergeCell ref="D56:I56"/>
    <mergeCell ref="D57:I57"/>
    <mergeCell ref="A5:C5"/>
    <mergeCell ref="F5:G5"/>
    <mergeCell ref="A7:I9"/>
    <mergeCell ref="C80:I81"/>
    <mergeCell ref="A60:C60"/>
    <mergeCell ref="D60:E60"/>
    <mergeCell ref="F60:G60"/>
    <mergeCell ref="D58:I58"/>
    <mergeCell ref="A59:C59"/>
    <mergeCell ref="S1:U3"/>
    <mergeCell ref="V1:AA1"/>
    <mergeCell ref="AB1:AD3"/>
    <mergeCell ref="AE1:AJ1"/>
    <mergeCell ref="V2:AA2"/>
    <mergeCell ref="AE2:AJ2"/>
    <mergeCell ref="V3:AA3"/>
    <mergeCell ref="AE3:AJ3"/>
    <mergeCell ref="AG4:AH4"/>
    <mergeCell ref="S5:U5"/>
    <mergeCell ref="V5:W5"/>
    <mergeCell ref="X5:Y5"/>
    <mergeCell ref="AB5:AD5"/>
    <mergeCell ref="AE5:AF5"/>
    <mergeCell ref="AG5:AH5"/>
    <mergeCell ref="S4:U4"/>
    <mergeCell ref="V4:W4"/>
    <mergeCell ref="X4:Y4"/>
    <mergeCell ref="AB4:AD4"/>
    <mergeCell ref="AE4:AF4"/>
    <mergeCell ref="S7:AA9"/>
    <mergeCell ref="S56:U58"/>
    <mergeCell ref="V56:AA56"/>
    <mergeCell ref="V57:AA57"/>
    <mergeCell ref="V58:AA58"/>
    <mergeCell ref="U80:AA81"/>
    <mergeCell ref="S59:U59"/>
    <mergeCell ref="V59:W59"/>
    <mergeCell ref="X59:Y59"/>
    <mergeCell ref="S60:U60"/>
    <mergeCell ref="V60:W60"/>
    <mergeCell ref="X60:Y60"/>
  </mergeCells>
  <pageMargins left="0.74803149606299213" right="0.74803149606299213" top="0.98425196850393704" bottom="0.98425196850393704" header="0" footer="0"/>
  <pageSetup paperSize="9" scale="82" fitToHeight="0" orientation="portrait"/>
  <rowBreaks count="2" manualBreakCount="2">
    <brk id="55" max="8" man="1"/>
    <brk id="55" min="18" max="26" man="1"/>
  </rowBreaks>
  <colBreaks count="1" manualBreakCount="1">
    <brk id="27" max="92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AJ86"/>
  <sheetViews>
    <sheetView topLeftCell="A49" workbookViewId="0">
      <selection activeCell="P33" sqref="P33"/>
    </sheetView>
    <sheetView tabSelected="1" topLeftCell="A58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9" max="9" width="11.85546875" customWidth="1"/>
    <col min="10" max="10" width="7" customWidth="1"/>
    <col min="11" max="11" width="10.85546875" customWidth="1"/>
    <col min="12" max="12" width="10.42578125" customWidth="1"/>
    <col min="14" max="14" width="10.42578125" customWidth="1"/>
    <col min="17" max="17" width="9.85546875" customWidth="1"/>
    <col min="18" max="18" width="8.140625" customWidth="1"/>
  </cols>
  <sheetData>
    <row r="1" spans="1:36" ht="17.25" customHeight="1" thickTop="1" thickBot="1" x14ac:dyDescent="0.3">
      <c r="A1" s="822"/>
      <c r="B1" s="823"/>
      <c r="C1" s="824"/>
      <c r="D1" s="913" t="str">
        <f>'Front Page'!$A$13</f>
        <v>Mechanical  Calculations</v>
      </c>
      <c r="E1" s="842"/>
      <c r="F1" s="842"/>
      <c r="G1" s="842"/>
      <c r="H1" s="842"/>
      <c r="I1" s="843"/>
      <c r="J1" s="822"/>
      <c r="K1" s="823"/>
      <c r="L1" s="824"/>
      <c r="M1" s="913" t="str">
        <f>'Front Page'!$A$13</f>
        <v>Mechanical  Calculations</v>
      </c>
      <c r="N1" s="842"/>
      <c r="O1" s="842"/>
      <c r="P1" s="842"/>
      <c r="Q1" s="842"/>
      <c r="R1" s="843"/>
      <c r="S1" s="822"/>
      <c r="T1" s="823"/>
      <c r="U1" s="824"/>
      <c r="V1" s="913" t="str">
        <f>'Front Page'!$A$13</f>
        <v>Mechanical  Calculations</v>
      </c>
      <c r="W1" s="842"/>
      <c r="X1" s="842"/>
      <c r="Y1" s="842"/>
      <c r="Z1" s="842"/>
      <c r="AA1" s="843"/>
      <c r="AB1" s="822"/>
      <c r="AC1" s="823"/>
      <c r="AD1" s="824"/>
      <c r="AE1" s="913" t="str">
        <f>'Front Page'!$A$13</f>
        <v>Mechanical  Calculations</v>
      </c>
      <c r="AF1" s="842"/>
      <c r="AG1" s="842"/>
      <c r="AH1" s="842"/>
      <c r="AI1" s="842"/>
      <c r="AJ1" s="843"/>
    </row>
    <row r="2" spans="1:36" ht="16.5" customHeight="1" thickBot="1" x14ac:dyDescent="0.3">
      <c r="A2" s="825"/>
      <c r="B2" s="809"/>
      <c r="C2" s="826"/>
      <c r="D2" s="839"/>
      <c r="E2" s="831"/>
      <c r="F2" s="831"/>
      <c r="G2" s="831"/>
      <c r="H2" s="831"/>
      <c r="I2" s="832"/>
      <c r="J2" s="825"/>
      <c r="K2" s="809"/>
      <c r="L2" s="826"/>
      <c r="M2" s="839">
        <f>'Front Page'!$A$21</f>
        <v>0</v>
      </c>
      <c r="N2" s="831"/>
      <c r="O2" s="831"/>
      <c r="P2" s="831"/>
      <c r="Q2" s="831"/>
      <c r="R2" s="832"/>
      <c r="S2" s="825"/>
      <c r="T2" s="809"/>
      <c r="U2" s="826"/>
      <c r="V2" s="839">
        <f>'Front Page'!$A$21</f>
        <v>0</v>
      </c>
      <c r="W2" s="831"/>
      <c r="X2" s="831"/>
      <c r="Y2" s="831"/>
      <c r="Z2" s="831"/>
      <c r="AA2" s="832"/>
      <c r="AB2" s="825"/>
      <c r="AC2" s="809"/>
      <c r="AD2" s="826"/>
      <c r="AE2" s="839">
        <f>'Front Page'!$A$21</f>
        <v>0</v>
      </c>
      <c r="AF2" s="831"/>
      <c r="AG2" s="831"/>
      <c r="AH2" s="831"/>
      <c r="AI2" s="831"/>
      <c r="AJ2" s="832"/>
    </row>
    <row r="3" spans="1:36" ht="16.5" customHeight="1" thickBot="1" x14ac:dyDescent="0.3">
      <c r="A3" s="827"/>
      <c r="B3" s="828"/>
      <c r="C3" s="829"/>
      <c r="D3" s="839" t="s">
        <v>1414</v>
      </c>
      <c r="E3" s="831"/>
      <c r="F3" s="831"/>
      <c r="G3" s="831"/>
      <c r="H3" s="831"/>
      <c r="I3" s="832"/>
      <c r="J3" s="827"/>
      <c r="K3" s="828"/>
      <c r="L3" s="829"/>
      <c r="M3" s="839" t="s">
        <v>1415</v>
      </c>
      <c r="N3" s="831"/>
      <c r="O3" s="831"/>
      <c r="P3" s="831"/>
      <c r="Q3" s="831"/>
      <c r="R3" s="832"/>
      <c r="S3" s="827"/>
      <c r="T3" s="828"/>
      <c r="U3" s="829"/>
      <c r="V3" s="839" t="s">
        <v>1416</v>
      </c>
      <c r="W3" s="831"/>
      <c r="X3" s="831"/>
      <c r="Y3" s="831"/>
      <c r="Z3" s="831"/>
      <c r="AA3" s="832"/>
      <c r="AB3" s="827"/>
      <c r="AC3" s="828"/>
      <c r="AD3" s="829"/>
      <c r="AE3" s="839" t="s">
        <v>1415</v>
      </c>
      <c r="AF3" s="831"/>
      <c r="AG3" s="831"/>
      <c r="AH3" s="831"/>
      <c r="AI3" s="831"/>
      <c r="AJ3" s="832"/>
    </row>
    <row r="4" spans="1:36" ht="16.5" customHeight="1" thickTop="1" thickBot="1" x14ac:dyDescent="0.3">
      <c r="A4" s="830"/>
      <c r="B4" s="831"/>
      <c r="C4" s="832"/>
      <c r="D4" s="912" t="s">
        <v>1417</v>
      </c>
      <c r="E4" s="832"/>
      <c r="F4" s="980"/>
      <c r="G4" s="843"/>
      <c r="H4" s="33"/>
      <c r="I4" s="544"/>
      <c r="J4" s="830"/>
      <c r="K4" s="831"/>
      <c r="L4" s="832"/>
      <c r="M4" s="915" t="str">
        <f>'Front Page'!$D$4</f>
        <v>Doc Nº</v>
      </c>
      <c r="N4" s="832"/>
      <c r="O4" s="846"/>
      <c r="P4" s="832"/>
      <c r="Q4" s="33"/>
      <c r="R4" s="544"/>
      <c r="S4" s="830"/>
      <c r="T4" s="831"/>
      <c r="U4" s="832"/>
      <c r="V4" s="912" t="str">
        <f>M4</f>
        <v>Doc Nº</v>
      </c>
      <c r="W4" s="832"/>
      <c r="X4" s="980"/>
      <c r="Y4" s="843"/>
      <c r="Z4" s="33"/>
      <c r="AA4" s="544"/>
      <c r="AB4" s="830"/>
      <c r="AC4" s="831"/>
      <c r="AD4" s="832"/>
      <c r="AE4" s="915" t="str">
        <f>'Front Page'!$D$4</f>
        <v>Doc Nº</v>
      </c>
      <c r="AF4" s="832"/>
      <c r="AG4" s="846"/>
      <c r="AH4" s="832"/>
      <c r="AI4" s="33"/>
      <c r="AJ4" s="544"/>
    </row>
    <row r="5" spans="1:36" ht="15.75" customHeight="1" thickBot="1" x14ac:dyDescent="0.3">
      <c r="A5" s="987"/>
      <c r="B5" s="834"/>
      <c r="C5" s="835"/>
      <c r="D5" s="914" t="str">
        <f>'Front Page'!$D$5</f>
        <v>Project</v>
      </c>
      <c r="E5" s="835"/>
      <c r="F5" s="899"/>
      <c r="G5" s="835"/>
      <c r="H5" s="131" t="s">
        <v>5</v>
      </c>
      <c r="I5" s="132"/>
      <c r="J5" s="987"/>
      <c r="K5" s="834"/>
      <c r="L5" s="835"/>
      <c r="M5" s="914" t="str">
        <f>'Front Page'!$D$5</f>
        <v>Project</v>
      </c>
      <c r="N5" s="835"/>
      <c r="O5" s="899"/>
      <c r="P5" s="835"/>
      <c r="Q5" s="131" t="s">
        <v>5</v>
      </c>
      <c r="R5" s="132"/>
      <c r="S5" s="987"/>
      <c r="T5" s="834"/>
      <c r="U5" s="835"/>
      <c r="V5" s="914" t="str">
        <f>'Front Page'!$D$5</f>
        <v>Project</v>
      </c>
      <c r="W5" s="835"/>
      <c r="X5" s="899"/>
      <c r="Y5" s="835"/>
      <c r="Z5" s="131" t="s">
        <v>5</v>
      </c>
      <c r="AA5" s="427"/>
      <c r="AB5" s="987"/>
      <c r="AC5" s="834"/>
      <c r="AD5" s="835"/>
      <c r="AE5" s="914" t="str">
        <f>'Front Page'!$D$5</f>
        <v>Project</v>
      </c>
      <c r="AF5" s="835"/>
      <c r="AG5" s="899"/>
      <c r="AH5" s="835"/>
      <c r="AI5" s="131" t="s">
        <v>5</v>
      </c>
      <c r="AJ5" s="427"/>
    </row>
    <row r="6" spans="1:36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  <c r="R6" s="5"/>
      <c r="S6" s="4"/>
      <c r="T6" s="4"/>
      <c r="U6" s="4"/>
      <c r="V6" s="4"/>
      <c r="W6" s="4"/>
      <c r="X6" s="4"/>
      <c r="Y6" s="4"/>
      <c r="Z6" s="4"/>
      <c r="AA6" s="4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">
      <c r="A7" s="1004" t="s">
        <v>1418</v>
      </c>
      <c r="B7" s="809"/>
      <c r="C7" s="809"/>
      <c r="D7" s="809"/>
      <c r="E7" s="809"/>
      <c r="F7" s="809"/>
      <c r="G7" s="809"/>
      <c r="H7" s="809"/>
      <c r="I7" s="809"/>
      <c r="J7" s="5"/>
      <c r="K7" s="5"/>
      <c r="L7" s="5"/>
      <c r="M7" s="5"/>
      <c r="N7" s="5"/>
      <c r="O7" s="5"/>
      <c r="P7" s="5"/>
      <c r="Q7" s="5"/>
      <c r="R7" s="5"/>
      <c r="S7" s="1004" t="s">
        <v>1418</v>
      </c>
      <c r="T7" s="809"/>
      <c r="U7" s="809"/>
      <c r="V7" s="809"/>
      <c r="W7" s="809"/>
      <c r="X7" s="809"/>
      <c r="Y7" s="809"/>
      <c r="Z7" s="809"/>
      <c r="AA7" s="809"/>
      <c r="AB7" s="5"/>
      <c r="AC7" s="5"/>
      <c r="AD7" s="5"/>
      <c r="AE7" s="5"/>
      <c r="AF7" s="5"/>
      <c r="AG7" s="5"/>
      <c r="AH7" s="5"/>
      <c r="AI7" s="5"/>
      <c r="AJ7" s="5"/>
    </row>
    <row r="8" spans="1:36" ht="18" customHeight="1" x14ac:dyDescent="0.2">
      <c r="A8" s="809"/>
      <c r="B8" s="809"/>
      <c r="C8" s="809"/>
      <c r="D8" s="809"/>
      <c r="E8" s="809"/>
      <c r="F8" s="809"/>
      <c r="G8" s="809"/>
      <c r="H8" s="809"/>
      <c r="I8" s="809"/>
      <c r="J8" s="5"/>
      <c r="K8" s="5"/>
      <c r="L8" s="5"/>
      <c r="M8" s="5"/>
      <c r="N8" s="5"/>
      <c r="O8" s="5"/>
      <c r="P8" s="5"/>
      <c r="Q8" s="5"/>
      <c r="R8" s="5"/>
      <c r="S8" s="809"/>
      <c r="T8" s="809"/>
      <c r="U8" s="809"/>
      <c r="V8" s="809"/>
      <c r="W8" s="809"/>
      <c r="X8" s="809"/>
      <c r="Y8" s="809"/>
      <c r="Z8" s="809"/>
      <c r="AA8" s="809"/>
      <c r="AB8" s="5"/>
      <c r="AC8" s="5"/>
      <c r="AD8" s="5"/>
      <c r="AE8" s="5"/>
      <c r="AF8" s="5"/>
      <c r="AG8" s="5"/>
      <c r="AH8" s="5"/>
      <c r="AI8" s="5"/>
      <c r="AJ8" s="5"/>
    </row>
    <row r="9" spans="1:36" ht="12.75" customHeight="1" x14ac:dyDescent="0.2">
      <c r="A9" s="809"/>
      <c r="B9" s="809"/>
      <c r="C9" s="809"/>
      <c r="D9" s="809"/>
      <c r="E9" s="809"/>
      <c r="F9" s="809"/>
      <c r="G9" s="809"/>
      <c r="H9" s="809"/>
      <c r="I9" s="809"/>
      <c r="J9" s="14"/>
      <c r="K9" s="5"/>
      <c r="L9" s="5"/>
      <c r="M9" s="226"/>
      <c r="N9" s="545"/>
      <c r="O9" s="5"/>
      <c r="P9" s="5"/>
      <c r="Q9" s="5"/>
      <c r="R9" s="5"/>
      <c r="S9" s="809"/>
      <c r="T9" s="809"/>
      <c r="U9" s="809"/>
      <c r="V9" s="809"/>
      <c r="W9" s="809"/>
      <c r="X9" s="809"/>
      <c r="Y9" s="809"/>
      <c r="Z9" s="809"/>
      <c r="AA9" s="809"/>
      <c r="AB9" s="14"/>
      <c r="AC9" s="5"/>
      <c r="AD9" s="5"/>
      <c r="AE9" s="226"/>
      <c r="AF9" s="545"/>
      <c r="AG9" s="5"/>
      <c r="AH9" s="5"/>
      <c r="AI9" s="5"/>
      <c r="AJ9" s="5"/>
    </row>
    <row r="10" spans="1:36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8" customHeight="1" x14ac:dyDescent="0.25">
      <c r="A11" s="134" t="s">
        <v>1302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26" t="s">
        <v>1303</v>
      </c>
      <c r="O11" s="546">
        <f>'Main Dimensions Calcs'!D55</f>
        <v>10</v>
      </c>
      <c r="P11" s="5"/>
      <c r="Q11" s="5"/>
      <c r="R11" s="5"/>
      <c r="S11" s="134" t="s">
        <v>1302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226" t="s">
        <v>1303</v>
      </c>
      <c r="AG11" s="565">
        <f>O11/25.4</f>
        <v>0.39370078740157483</v>
      </c>
      <c r="AH11" s="5"/>
      <c r="AI11" s="5"/>
      <c r="AJ11" s="5"/>
    </row>
    <row r="12" spans="1:36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x14ac:dyDescent="0.2">
      <c r="A13" s="226" t="s">
        <v>197</v>
      </c>
      <c r="B13" s="265">
        <f>'Thermal calculation 2'!K82+'Weight Calculations'!H71</f>
        <v>80084.941287362512</v>
      </c>
      <c r="C13" s="5" t="s">
        <v>1304</v>
      </c>
      <c r="D13" s="5"/>
      <c r="E13" s="5"/>
      <c r="F13" s="5"/>
      <c r="G13" s="5"/>
      <c r="H13" s="5"/>
      <c r="I13" s="5"/>
      <c r="J13" s="5"/>
      <c r="K13" s="507"/>
      <c r="L13" s="5"/>
      <c r="M13" s="5"/>
      <c r="N13" s="5"/>
      <c r="O13" s="5"/>
      <c r="P13" s="5"/>
      <c r="Q13" s="5"/>
      <c r="R13" s="5"/>
      <c r="S13" s="226" t="s">
        <v>197</v>
      </c>
      <c r="T13" s="265">
        <f>B13*2.205</f>
        <v>176587.29553863435</v>
      </c>
      <c r="U13" s="64" t="s">
        <v>1305</v>
      </c>
      <c r="V13" s="5"/>
      <c r="W13" s="5"/>
      <c r="X13" s="5"/>
      <c r="Y13" s="5"/>
      <c r="Z13" s="5"/>
      <c r="AA13" s="5"/>
      <c r="AB13" s="5"/>
      <c r="AC13" s="507"/>
      <c r="AD13" s="5"/>
      <c r="AE13" s="5"/>
      <c r="AF13" s="5"/>
      <c r="AG13" s="5"/>
      <c r="AH13" s="5"/>
      <c r="AI13" s="5"/>
      <c r="AJ13" s="5"/>
    </row>
    <row r="14" spans="1:36" x14ac:dyDescent="0.2">
      <c r="A14" s="226" t="s">
        <v>1306</v>
      </c>
      <c r="B14" s="389">
        <f>'Main Dimensions Calcs'!D53/2</f>
        <v>10300</v>
      </c>
      <c r="C14" s="5" t="s">
        <v>1307</v>
      </c>
      <c r="D14" s="5"/>
      <c r="E14" s="5"/>
      <c r="F14" s="5"/>
      <c r="G14" s="5"/>
      <c r="H14" s="5"/>
      <c r="I14" s="5"/>
      <c r="J14" s="5"/>
      <c r="K14" s="507"/>
      <c r="L14" s="5"/>
      <c r="M14" s="5"/>
      <c r="N14" s="5"/>
      <c r="O14" s="5"/>
      <c r="P14" s="5"/>
      <c r="Q14" s="5"/>
      <c r="R14" s="5"/>
      <c r="S14" s="226" t="s">
        <v>1306</v>
      </c>
      <c r="T14" s="447">
        <f t="shared" ref="T14:T21" si="0">B14/25.4</f>
        <v>405.51181102362204</v>
      </c>
      <c r="U14" s="64" t="s">
        <v>1308</v>
      </c>
      <c r="V14" s="5"/>
      <c r="W14" s="5"/>
      <c r="X14" s="5"/>
      <c r="Y14" s="5"/>
      <c r="Z14" s="5"/>
      <c r="AA14" s="5"/>
      <c r="AB14" s="5"/>
      <c r="AC14" s="550"/>
      <c r="AD14" s="5"/>
      <c r="AE14" s="5"/>
      <c r="AF14" s="5"/>
      <c r="AG14" s="5"/>
      <c r="AH14" s="5"/>
      <c r="AI14" s="5"/>
      <c r="AJ14" s="5"/>
    </row>
    <row r="15" spans="1:36" x14ac:dyDescent="0.2">
      <c r="A15" s="548" t="s">
        <v>1309</v>
      </c>
      <c r="B15" s="389">
        <f>'Main Dimensions Calcs'!D54</f>
        <v>18000</v>
      </c>
      <c r="C15" s="5" t="s">
        <v>1310</v>
      </c>
      <c r="D15" s="5"/>
      <c r="E15" s="5"/>
      <c r="F15" s="5"/>
      <c r="G15" s="5"/>
      <c r="H15" s="5"/>
      <c r="I15" s="5"/>
      <c r="J15" s="226" t="s">
        <v>1322</v>
      </c>
      <c r="K15" s="549">
        <f>B20</f>
        <v>240</v>
      </c>
      <c r="L15" s="5"/>
      <c r="M15" s="5"/>
      <c r="N15" s="5"/>
      <c r="O15" s="5"/>
      <c r="P15" s="5"/>
      <c r="Q15" s="5"/>
      <c r="R15" s="5"/>
      <c r="S15" s="548" t="s">
        <v>1309</v>
      </c>
      <c r="T15" s="447">
        <f t="shared" si="0"/>
        <v>708.66141732283472</v>
      </c>
      <c r="U15" s="64" t="s">
        <v>1311</v>
      </c>
      <c r="V15" s="5"/>
      <c r="W15" s="5"/>
      <c r="X15" s="5"/>
      <c r="Y15" s="5"/>
      <c r="Z15" s="5"/>
      <c r="AA15" s="5"/>
      <c r="AB15" s="226" t="s">
        <v>1322</v>
      </c>
      <c r="AC15" s="565">
        <f>K15/25.4</f>
        <v>9.4488188976377963</v>
      </c>
      <c r="AD15" s="5"/>
      <c r="AE15" s="5"/>
      <c r="AF15" s="5"/>
      <c r="AG15" s="5"/>
      <c r="AH15" s="5"/>
      <c r="AI15" s="5"/>
      <c r="AJ15" s="5"/>
    </row>
    <row r="16" spans="1:36" x14ac:dyDescent="0.2">
      <c r="A16" s="548" t="s">
        <v>1221</v>
      </c>
      <c r="B16" s="399">
        <f>'Main Dimensions Calcs'!L40</f>
        <v>8</v>
      </c>
      <c r="C16" s="5" t="s">
        <v>1312</v>
      </c>
      <c r="D16" s="5"/>
      <c r="E16" s="5"/>
      <c r="F16" s="5"/>
      <c r="G16" s="5"/>
      <c r="H16" s="5"/>
      <c r="I16" s="5"/>
      <c r="J16" s="226"/>
      <c r="K16" s="549"/>
      <c r="L16" s="5"/>
      <c r="M16" s="5"/>
      <c r="N16" s="5"/>
      <c r="O16" s="5"/>
      <c r="P16" s="5"/>
      <c r="Q16" s="5"/>
      <c r="R16" s="5"/>
      <c r="S16" s="548" t="s">
        <v>1221</v>
      </c>
      <c r="T16" s="447">
        <f t="shared" si="0"/>
        <v>0.31496062992125984</v>
      </c>
      <c r="U16" s="64" t="s">
        <v>1313</v>
      </c>
      <c r="V16" s="5"/>
      <c r="W16" s="5"/>
      <c r="X16" s="5"/>
      <c r="Y16" s="5"/>
      <c r="Z16" s="5"/>
      <c r="AA16" s="5"/>
      <c r="AB16" s="226"/>
      <c r="AC16" s="566"/>
      <c r="AD16" s="5"/>
      <c r="AE16" s="5"/>
      <c r="AF16" s="5"/>
      <c r="AG16" s="5"/>
      <c r="AH16" s="5"/>
      <c r="AI16" s="5"/>
      <c r="AJ16" s="5"/>
    </row>
    <row r="17" spans="1:36" x14ac:dyDescent="0.2">
      <c r="A17" s="548" t="s">
        <v>1314</v>
      </c>
      <c r="B17" s="399">
        <f>'Main Dimensions Calcs'!L41</f>
        <v>300</v>
      </c>
      <c r="C17" s="5" t="s">
        <v>1315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48" t="s">
        <v>1314</v>
      </c>
      <c r="T17" s="447">
        <f t="shared" si="0"/>
        <v>11.811023622047244</v>
      </c>
      <c r="U17" s="64" t="s">
        <v>1419</v>
      </c>
      <c r="V17" s="5"/>
      <c r="W17" s="5"/>
      <c r="X17" s="5"/>
      <c r="Y17" s="5"/>
      <c r="Z17" s="5"/>
      <c r="AA17" s="5"/>
      <c r="AB17" s="5"/>
      <c r="AC17" s="64"/>
      <c r="AD17" s="5"/>
      <c r="AE17" s="5"/>
      <c r="AF17" s="5"/>
      <c r="AG17" s="5"/>
      <c r="AH17" s="5"/>
      <c r="AI17" s="5"/>
      <c r="AJ17" s="5"/>
    </row>
    <row r="18" spans="1:36" x14ac:dyDescent="0.2">
      <c r="A18" s="548" t="s">
        <v>1181</v>
      </c>
      <c r="B18" s="399">
        <f>'Main Dimensions Calcs'!L42</f>
        <v>25</v>
      </c>
      <c r="C18" s="5" t="s">
        <v>1318</v>
      </c>
      <c r="D18" s="5"/>
      <c r="E18" s="5"/>
      <c r="F18" s="5"/>
      <c r="G18" s="5"/>
      <c r="H18" s="5"/>
      <c r="I18" s="5"/>
      <c r="J18" s="226" t="s">
        <v>1329</v>
      </c>
      <c r="K18" s="549">
        <f>B19</f>
        <v>380</v>
      </c>
      <c r="L18" s="5"/>
      <c r="M18" s="5"/>
      <c r="N18" s="5"/>
      <c r="O18" s="5"/>
      <c r="P18" s="5"/>
      <c r="Q18" s="5"/>
      <c r="R18" s="5"/>
      <c r="S18" s="548" t="s">
        <v>1181</v>
      </c>
      <c r="T18" s="447">
        <f t="shared" si="0"/>
        <v>0.98425196850393704</v>
      </c>
      <c r="U18" s="64" t="s">
        <v>1319</v>
      </c>
      <c r="V18" s="5"/>
      <c r="W18" s="5"/>
      <c r="X18" s="5"/>
      <c r="Y18" s="5"/>
      <c r="Z18" s="5"/>
      <c r="AA18" s="5"/>
      <c r="AB18" s="226" t="s">
        <v>1329</v>
      </c>
      <c r="AC18" s="565">
        <f>K18/25.4</f>
        <v>14.960629921259843</v>
      </c>
      <c r="AD18" s="5"/>
      <c r="AE18" s="5"/>
      <c r="AF18" s="5"/>
      <c r="AG18" s="5"/>
      <c r="AH18" s="5"/>
      <c r="AI18" s="5"/>
      <c r="AJ18" s="5"/>
    </row>
    <row r="19" spans="1:36" x14ac:dyDescent="0.2">
      <c r="A19" s="548" t="s">
        <v>1320</v>
      </c>
      <c r="B19" s="399">
        <f>'Main Dimensions Calcs'!L43</f>
        <v>380</v>
      </c>
      <c r="C19" s="5" t="s">
        <v>1321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48" t="s">
        <v>1320</v>
      </c>
      <c r="T19" s="447">
        <f t="shared" si="0"/>
        <v>14.960629921259843</v>
      </c>
      <c r="U19" s="64" t="s">
        <v>1323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x14ac:dyDescent="0.2">
      <c r="A20" s="548" t="s">
        <v>1324</v>
      </c>
      <c r="B20" s="487">
        <f>'Main Dimensions Calcs'!L44</f>
        <v>240</v>
      </c>
      <c r="C20" s="5" t="s">
        <v>1325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226" t="s">
        <v>1303</v>
      </c>
      <c r="O20" s="551">
        <f>B18</f>
        <v>25</v>
      </c>
      <c r="P20" s="5"/>
      <c r="Q20" s="5"/>
      <c r="R20" s="5"/>
      <c r="S20" s="548" t="s">
        <v>1324</v>
      </c>
      <c r="T20" s="447">
        <f t="shared" si="0"/>
        <v>9.4488188976377963</v>
      </c>
      <c r="U20" s="64" t="s">
        <v>1327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226" t="s">
        <v>1303</v>
      </c>
      <c r="AG20" s="565">
        <f>O20/25.4</f>
        <v>0.98425196850393704</v>
      </c>
      <c r="AH20" s="5"/>
      <c r="AI20" s="5"/>
      <c r="AJ20" s="5"/>
    </row>
    <row r="21" spans="1:36" ht="18.75" customHeight="1" x14ac:dyDescent="0.2">
      <c r="A21" s="548" t="s">
        <v>541</v>
      </c>
      <c r="B21" s="399">
        <f>'Main Dimensions Calcs'!L45</f>
        <v>140</v>
      </c>
      <c r="C21" s="5" t="s">
        <v>1328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48" t="s">
        <v>541</v>
      </c>
      <c r="T21" s="447">
        <f t="shared" si="0"/>
        <v>5.5118110236220472</v>
      </c>
      <c r="U21" s="64" t="s">
        <v>1330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9.5" customHeight="1" x14ac:dyDescent="0.2">
      <c r="A22" s="226" t="s">
        <v>1331</v>
      </c>
      <c r="B22" s="389">
        <f>+'Inner Tank Roof Thickness'!D28+'Inner Tank Roof Thickness'!E28</f>
        <v>-3.8900000000000004E-2</v>
      </c>
      <c r="C22" s="5" t="s">
        <v>1332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226" t="s">
        <v>1331</v>
      </c>
      <c r="T22" s="447">
        <f>B22*14.5</f>
        <v>-0.56405000000000005</v>
      </c>
      <c r="U22" s="64" t="s">
        <v>1420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x14ac:dyDescent="0.2">
      <c r="A23" s="5"/>
      <c r="B23" s="266" t="s">
        <v>1421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226" t="s">
        <v>1333</v>
      </c>
      <c r="P23" s="554">
        <f>B15</f>
        <v>18000</v>
      </c>
      <c r="Q23" s="5"/>
      <c r="R23" s="5"/>
      <c r="S23" s="5"/>
      <c r="T23" s="64" t="s">
        <v>1421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226" t="s">
        <v>1333</v>
      </c>
      <c r="AH23" s="556">
        <f>T15</f>
        <v>708.66141732283472</v>
      </c>
      <c r="AI23" s="5"/>
      <c r="AJ23" s="5"/>
    </row>
    <row r="24" spans="1:36" x14ac:dyDescent="0.2">
      <c r="A24" s="226" t="s">
        <v>1335</v>
      </c>
      <c r="B24" s="555"/>
      <c r="C24" s="5" t="s">
        <v>1336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226" t="s">
        <v>1335</v>
      </c>
      <c r="T24" s="389">
        <f>B24*14.5</f>
        <v>0</v>
      </c>
      <c r="U24" s="5" t="s">
        <v>1336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18" customHeight="1" x14ac:dyDescent="0.25">
      <c r="A27" s="134" t="s">
        <v>1339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34" t="s">
        <v>1339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ht="18" customHeight="1" x14ac:dyDescent="0.25">
      <c r="A28" s="134" t="s">
        <v>1341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58"/>
      <c r="O28" s="558"/>
      <c r="P28" s="558"/>
      <c r="Q28" s="5"/>
      <c r="R28" s="5"/>
      <c r="S28" s="134" t="s">
        <v>1341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58"/>
      <c r="AG28" s="558"/>
      <c r="AH28" s="558"/>
      <c r="AI28" s="5"/>
      <c r="AJ28" s="5"/>
    </row>
    <row r="29" spans="1:36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x14ac:dyDescent="0.2">
      <c r="A30" s="226" t="s">
        <v>1314</v>
      </c>
      <c r="B30" s="418">
        <f>0.6*( B16*B14)^(1/2)</f>
        <v>172.2324011328879</v>
      </c>
      <c r="C30" s="5" t="s">
        <v>247</v>
      </c>
      <c r="D30" s="5" t="s">
        <v>1342</v>
      </c>
      <c r="E30" s="5"/>
      <c r="F30" s="5"/>
      <c r="G30" s="5"/>
      <c r="H30" s="5"/>
      <c r="I30" s="5"/>
      <c r="J30" s="5"/>
      <c r="K30" s="248"/>
      <c r="L30" s="5"/>
      <c r="M30" s="5"/>
      <c r="N30" s="5"/>
      <c r="O30" s="5"/>
      <c r="P30" s="5"/>
      <c r="Q30" s="5"/>
      <c r="R30" s="5"/>
      <c r="S30" s="226" t="s">
        <v>1314</v>
      </c>
      <c r="T30" s="418">
        <f>B30/25.4</f>
        <v>6.7808031942081852</v>
      </c>
      <c r="U30" s="64" t="s">
        <v>248</v>
      </c>
      <c r="V30" s="5" t="s">
        <v>1342</v>
      </c>
      <c r="W30" s="5"/>
      <c r="X30" s="5"/>
      <c r="Y30" s="5"/>
      <c r="Z30" s="5"/>
      <c r="AA30" s="5"/>
      <c r="AB30" s="5"/>
      <c r="AC30" s="248"/>
      <c r="AD30" s="5"/>
      <c r="AE30" s="5"/>
      <c r="AF30" s="5"/>
      <c r="AG30" s="5"/>
      <c r="AH30" s="5"/>
      <c r="AI30" s="5"/>
      <c r="AJ30" s="5"/>
    </row>
    <row r="31" spans="1:36" x14ac:dyDescent="0.2">
      <c r="A31" s="226" t="s">
        <v>1324</v>
      </c>
      <c r="B31" s="418">
        <f>0.6*(B18*B15)^(1/2)</f>
        <v>402.49223594996215</v>
      </c>
      <c r="C31" s="5" t="s">
        <v>247</v>
      </c>
      <c r="D31" s="5" t="s">
        <v>1343</v>
      </c>
      <c r="E31" s="5"/>
      <c r="F31" s="5"/>
      <c r="G31" s="5"/>
      <c r="H31" s="5"/>
      <c r="I31" s="5"/>
      <c r="J31" s="5"/>
      <c r="K31" s="5"/>
      <c r="L31" s="5"/>
      <c r="M31" s="14" t="s">
        <v>1344</v>
      </c>
      <c r="N31" s="559">
        <f>B30</f>
        <v>172.2324011328879</v>
      </c>
      <c r="O31" s="5"/>
      <c r="P31" s="5"/>
      <c r="Q31" s="5"/>
      <c r="R31" s="5"/>
      <c r="S31" s="226" t="s">
        <v>1324</v>
      </c>
      <c r="T31" s="418">
        <f>B31/25.4</f>
        <v>15.846151021652053</v>
      </c>
      <c r="U31" s="64" t="s">
        <v>248</v>
      </c>
      <c r="V31" s="5" t="s">
        <v>1343</v>
      </c>
      <c r="W31" s="5"/>
      <c r="X31" s="5"/>
      <c r="Y31" s="5"/>
      <c r="Z31" s="5"/>
      <c r="AA31" s="5"/>
      <c r="AB31" s="5"/>
      <c r="AC31" s="5"/>
      <c r="AD31" s="5"/>
      <c r="AE31" s="14" t="s">
        <v>1344</v>
      </c>
      <c r="AF31" s="561">
        <f>N31/25.4</f>
        <v>6.7808031942081852</v>
      </c>
      <c r="AG31" s="5"/>
      <c r="AH31" s="5"/>
      <c r="AI31" s="5"/>
      <c r="AJ31" s="5"/>
    </row>
    <row r="32" spans="1:36" x14ac:dyDescent="0.2">
      <c r="A32" s="5"/>
      <c r="B32" s="5"/>
      <c r="C32" s="5"/>
      <c r="D32" s="5"/>
      <c r="E32" s="5"/>
      <c r="F32" s="5"/>
      <c r="G32" s="5"/>
      <c r="H32" s="5"/>
      <c r="I32" s="5"/>
      <c r="J32" s="226" t="s">
        <v>1337</v>
      </c>
      <c r="K32" s="549">
        <f>B21</f>
        <v>140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226" t="s">
        <v>1337</v>
      </c>
      <c r="AC32" s="565">
        <f>K32/25.4</f>
        <v>5.5118110236220472</v>
      </c>
      <c r="AD32" s="5"/>
      <c r="AE32" s="5"/>
      <c r="AF32" s="5"/>
      <c r="AG32" s="5"/>
      <c r="AH32" s="5"/>
      <c r="AI32" s="5"/>
      <c r="AJ32" s="5"/>
    </row>
    <row r="33" spans="1:36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64"/>
      <c r="AD33" s="5"/>
      <c r="AE33" s="5"/>
      <c r="AF33" s="5"/>
      <c r="AG33" s="5"/>
      <c r="AH33" s="5"/>
      <c r="AI33" s="5"/>
      <c r="AJ33" s="5"/>
    </row>
    <row r="34" spans="1:36" x14ac:dyDescent="0.2">
      <c r="A34" s="5"/>
      <c r="B34" s="5"/>
      <c r="C34" s="5"/>
      <c r="D34" s="5"/>
      <c r="E34" s="5"/>
      <c r="F34" s="5"/>
      <c r="G34" s="5"/>
      <c r="H34" s="5"/>
      <c r="I34" s="5"/>
      <c r="J34" s="226" t="s">
        <v>1346</v>
      </c>
      <c r="K34" s="551">
        <f>B16</f>
        <v>8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226" t="s">
        <v>1346</v>
      </c>
      <c r="AC34" s="565">
        <f>K34/25.4</f>
        <v>0.31496062992125984</v>
      </c>
      <c r="AD34" s="5"/>
      <c r="AE34" s="5"/>
      <c r="AF34" s="5"/>
      <c r="AG34" s="5"/>
      <c r="AH34" s="5"/>
      <c r="AI34" s="5"/>
      <c r="AJ34" s="5"/>
    </row>
    <row r="35" spans="1:36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26" t="s">
        <v>1347</v>
      </c>
      <c r="O35" s="554">
        <f>B14</f>
        <v>10300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64"/>
      <c r="AD35" s="5"/>
      <c r="AE35" s="5"/>
      <c r="AF35" s="226" t="s">
        <v>1347</v>
      </c>
      <c r="AG35" s="554">
        <f>T14</f>
        <v>405.51181102362204</v>
      </c>
      <c r="AH35" s="5"/>
      <c r="AI35" s="5"/>
      <c r="AJ35" s="5"/>
    </row>
    <row r="36" spans="1:36" ht="18" customHeight="1" x14ac:dyDescent="0.25">
      <c r="A36" s="420" t="s">
        <v>1348</v>
      </c>
      <c r="B36" s="560"/>
      <c r="C36" s="134"/>
      <c r="D36" s="134"/>
      <c r="E36" s="5"/>
      <c r="F36" s="5"/>
      <c r="G36" s="5"/>
      <c r="H36" s="5"/>
      <c r="I36" s="5"/>
      <c r="J36" s="5"/>
      <c r="K36" s="226" t="s">
        <v>1345</v>
      </c>
      <c r="L36" s="550">
        <f>ASIN(B39)*180/PI()</f>
        <v>55.094666104093783</v>
      </c>
      <c r="M36" s="5"/>
      <c r="N36" s="5"/>
      <c r="O36" s="5"/>
      <c r="P36" s="5"/>
      <c r="Q36" s="5"/>
      <c r="R36" s="5"/>
      <c r="S36" s="420" t="s">
        <v>1348</v>
      </c>
      <c r="T36" s="560"/>
      <c r="U36" s="134"/>
      <c r="V36" s="134"/>
      <c r="W36" s="5"/>
      <c r="X36" s="5"/>
      <c r="Y36" s="5"/>
      <c r="Z36" s="5"/>
      <c r="AA36" s="5"/>
      <c r="AB36" s="5"/>
      <c r="AC36" s="226" t="s">
        <v>1345</v>
      </c>
      <c r="AD36" s="550">
        <f>ASIN(T39)*180/PI()</f>
        <v>55.094666104093783</v>
      </c>
      <c r="AE36" s="5"/>
      <c r="AF36" s="5"/>
      <c r="AG36" s="5"/>
      <c r="AH36" s="5"/>
      <c r="AI36" s="5"/>
      <c r="AJ36" s="5"/>
    </row>
    <row r="37" spans="1:36" ht="18" customHeight="1" x14ac:dyDescent="0.25">
      <c r="A37" s="420"/>
      <c r="B37" s="560"/>
      <c r="C37" s="134"/>
      <c r="D37" s="13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420"/>
      <c r="T37" s="560"/>
      <c r="U37" s="134"/>
      <c r="V37" s="134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x14ac:dyDescent="0.2">
      <c r="A38" s="226" t="s">
        <v>1349</v>
      </c>
      <c r="B38" s="263">
        <f>B16*B30+(B21+MIN(B31,B20))*B18</f>
        <v>10877.859209063103</v>
      </c>
      <c r="C38" s="5" t="s">
        <v>334</v>
      </c>
      <c r="D38" s="5" t="s">
        <v>1350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226" t="s">
        <v>1349</v>
      </c>
      <c r="T38" s="418">
        <f>B38/(25.4*25.4)</f>
        <v>16.8607154954788</v>
      </c>
      <c r="U38" s="64" t="s">
        <v>1174</v>
      </c>
      <c r="V38" s="5" t="s">
        <v>1350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ht="14.25" customHeight="1" x14ac:dyDescent="0.2">
      <c r="A39" s="226" t="s">
        <v>1351</v>
      </c>
      <c r="B39" s="332">
        <f>(1-(B14/B15)^2)^0.5</f>
        <v>0.82009860894593756</v>
      </c>
      <c r="C39" s="5"/>
      <c r="D39" s="248" t="s">
        <v>1352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226" t="s">
        <v>1351</v>
      </c>
      <c r="T39" s="332">
        <f>(1-(T14/T15)^2)^0.5</f>
        <v>0.82009860894593756</v>
      </c>
      <c r="U39" s="5"/>
      <c r="V39" s="248" t="s">
        <v>1352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x14ac:dyDescent="0.2">
      <c r="A40" s="226" t="s">
        <v>1090</v>
      </c>
      <c r="B40" s="306">
        <f>PI()*(B14/1000)^2</f>
        <v>333.29156461934122</v>
      </c>
      <c r="C40" s="5" t="s">
        <v>688</v>
      </c>
      <c r="D40" s="5" t="s">
        <v>1353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226" t="s">
        <v>1090</v>
      </c>
      <c r="T40" s="418">
        <f>B40/(25.4*25.4)*1000000</f>
        <v>516602.95836589567</v>
      </c>
      <c r="U40" s="64" t="s">
        <v>1174</v>
      </c>
      <c r="V40" s="5" t="s">
        <v>1353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x14ac:dyDescent="0.2">
      <c r="A41" s="445" t="s">
        <v>1422</v>
      </c>
      <c r="B41" s="567">
        <f>B18*16</f>
        <v>400</v>
      </c>
      <c r="C41" s="5" t="s">
        <v>247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41" t="s">
        <v>1422</v>
      </c>
      <c r="T41" s="418">
        <f>B41/25.4</f>
        <v>15.748031496062993</v>
      </c>
      <c r="U41" s="64" t="s">
        <v>248</v>
      </c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x14ac:dyDescent="0.2">
      <c r="A42" s="226" t="s">
        <v>1354</v>
      </c>
      <c r="B42" s="567">
        <f>B18*32</f>
        <v>800</v>
      </c>
      <c r="C42" s="5" t="s">
        <v>247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341" t="str">
        <f>A42</f>
        <v>32*t</v>
      </c>
      <c r="T42" s="418">
        <f>B42/25.4</f>
        <v>31.496062992125985</v>
      </c>
      <c r="U42" s="64" t="s">
        <v>248</v>
      </c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18" customHeight="1" x14ac:dyDescent="0.25">
      <c r="A44" s="134" t="s">
        <v>1356</v>
      </c>
      <c r="B44" s="134"/>
      <c r="C44" s="134"/>
      <c r="D44" s="5"/>
      <c r="E44" s="134"/>
      <c r="F44" s="13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34" t="s">
        <v>1356</v>
      </c>
      <c r="T44" s="134"/>
      <c r="U44" s="134"/>
      <c r="V44" s="5"/>
      <c r="W44" s="134"/>
      <c r="X44" s="134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2">
      <c r="A46" s="5"/>
      <c r="B46" s="5" t="s">
        <v>1357</v>
      </c>
      <c r="C46" s="5" t="s">
        <v>1358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 t="s">
        <v>1357</v>
      </c>
      <c r="U46" s="5" t="s">
        <v>1358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2">
      <c r="A47" s="5"/>
      <c r="B47" s="5" t="s">
        <v>1359</v>
      </c>
      <c r="C47" s="5" t="s">
        <v>1360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 t="s">
        <v>1359</v>
      </c>
      <c r="U47" s="5" t="s">
        <v>1360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2">
      <c r="A48" s="14" t="s">
        <v>1002</v>
      </c>
      <c r="B48" s="418">
        <f>$B$15/(2*1000)*(B22*100000-$B$13*9.8/$B$40)</f>
        <v>-56203.131094129931</v>
      </c>
      <c r="C48" s="418">
        <f>$B$15/2/1000*(B24*100000-$B$13*9.8/$B$40)</f>
        <v>-21193.131094129927</v>
      </c>
      <c r="D48" s="248" t="s">
        <v>1361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4" t="s">
        <v>1002</v>
      </c>
      <c r="T48" s="418">
        <f t="shared" ref="T48:U50" si="1">B48</f>
        <v>-56203.131094129931</v>
      </c>
      <c r="U48" s="418">
        <f t="shared" si="1"/>
        <v>-21193.131094129927</v>
      </c>
      <c r="V48" s="248" t="s">
        <v>1361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">
      <c r="A49" s="14" t="s">
        <v>1003</v>
      </c>
      <c r="B49" s="418">
        <f>$B$15/1000*B22*100000-B48</f>
        <v>-13816.868905870069</v>
      </c>
      <c r="C49" s="418">
        <f>$B$15/1000*B24*100000-C48</f>
        <v>21193.131094129927</v>
      </c>
      <c r="D49" s="5" t="s">
        <v>1363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14" t="s">
        <v>1003</v>
      </c>
      <c r="T49" s="418">
        <f t="shared" si="1"/>
        <v>-13816.868905870069</v>
      </c>
      <c r="U49" s="418">
        <f t="shared" si="1"/>
        <v>21193.131094129927</v>
      </c>
      <c r="V49" s="5" t="s">
        <v>1363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14" t="s">
        <v>1365</v>
      </c>
      <c r="B50" s="14">
        <f>$B$14/1000*B22*100000</f>
        <v>-40067.000000000007</v>
      </c>
      <c r="C50" s="14">
        <f>$B$14/1000*B24*100000</f>
        <v>0</v>
      </c>
      <c r="D50" s="5" t="s">
        <v>1366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4" t="s">
        <v>1365</v>
      </c>
      <c r="T50" s="418">
        <f t="shared" si="1"/>
        <v>-40067.000000000007</v>
      </c>
      <c r="U50" s="418">
        <f t="shared" si="1"/>
        <v>0</v>
      </c>
      <c r="V50" s="5" t="s">
        <v>1366</v>
      </c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">
      <c r="A52" s="118"/>
      <c r="B52" s="118"/>
      <c r="C52" s="118"/>
      <c r="D52" s="118"/>
      <c r="E52" s="118"/>
      <c r="F52" s="118"/>
      <c r="G52" s="118"/>
      <c r="H52" s="118"/>
      <c r="I52" s="118"/>
      <c r="J52" s="5"/>
      <c r="K52" s="5"/>
      <c r="L52" s="5"/>
      <c r="M52" s="5"/>
      <c r="N52" s="5"/>
      <c r="O52" s="5"/>
      <c r="P52" s="5"/>
      <c r="Q52" s="5"/>
      <c r="R52" s="5"/>
      <c r="S52" s="118"/>
      <c r="T52" s="118"/>
      <c r="U52" s="118"/>
      <c r="V52" s="118"/>
      <c r="W52" s="118"/>
      <c r="X52" s="118"/>
      <c r="Y52" s="118"/>
      <c r="Z52" s="118"/>
      <c r="AA52" s="118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3.5" customHeight="1" thickBot="1" x14ac:dyDescent="0.25">
      <c r="A55" s="5"/>
      <c r="B55" s="5"/>
      <c r="C55" s="5"/>
      <c r="D55" s="5"/>
      <c r="E55" s="5"/>
      <c r="F55" s="5"/>
      <c r="G55" s="5"/>
      <c r="H55" s="5"/>
      <c r="I55" s="5"/>
      <c r="J55" s="26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265"/>
      <c r="AC55" s="5"/>
      <c r="AD55" s="5"/>
      <c r="AE55" s="5"/>
      <c r="AF55" s="5"/>
      <c r="AG55" s="5"/>
      <c r="AH55" s="5"/>
      <c r="AI55" s="5"/>
      <c r="AJ55" s="5"/>
    </row>
    <row r="56" spans="1:36" ht="17.25" customHeight="1" thickTop="1" thickBot="1" x14ac:dyDescent="0.3">
      <c r="A56" s="822"/>
      <c r="B56" s="823"/>
      <c r="C56" s="824"/>
      <c r="D56" s="913" t="str">
        <f>'Front Page'!$A$13</f>
        <v>Mechanical  Calculations</v>
      </c>
      <c r="E56" s="842"/>
      <c r="F56" s="842"/>
      <c r="G56" s="842"/>
      <c r="H56" s="842"/>
      <c r="I56" s="843"/>
      <c r="J56" s="265"/>
      <c r="K56" s="5"/>
      <c r="L56" s="5"/>
      <c r="M56" s="5"/>
      <c r="N56" s="5"/>
      <c r="O56" s="5"/>
      <c r="P56" s="5"/>
      <c r="Q56" s="5"/>
      <c r="R56" s="5"/>
      <c r="S56" s="822"/>
      <c r="T56" s="823"/>
      <c r="U56" s="824"/>
      <c r="V56" s="913" t="str">
        <f>'Front Page'!$A$13</f>
        <v>Mechanical  Calculations</v>
      </c>
      <c r="W56" s="842"/>
      <c r="X56" s="842"/>
      <c r="Y56" s="842"/>
      <c r="Z56" s="842"/>
      <c r="AA56" s="843"/>
      <c r="AB56" s="265"/>
      <c r="AC56" s="5"/>
      <c r="AD56" s="5"/>
      <c r="AE56" s="5"/>
      <c r="AF56" s="5"/>
      <c r="AG56" s="5"/>
      <c r="AH56" s="5"/>
      <c r="AI56" s="5"/>
      <c r="AJ56" s="5"/>
    </row>
    <row r="57" spans="1:36" ht="16.5" customHeight="1" thickBot="1" x14ac:dyDescent="0.3">
      <c r="A57" s="825"/>
      <c r="B57" s="809"/>
      <c r="C57" s="826"/>
      <c r="D57" s="839"/>
      <c r="E57" s="831"/>
      <c r="F57" s="831"/>
      <c r="G57" s="831"/>
      <c r="H57" s="831"/>
      <c r="I57" s="832"/>
      <c r="J57" s="5"/>
      <c r="K57" s="5"/>
      <c r="L57" s="5"/>
      <c r="M57" s="5"/>
      <c r="N57" s="5"/>
      <c r="O57" s="5"/>
      <c r="P57" s="5"/>
      <c r="Q57" s="5"/>
      <c r="R57" s="5"/>
      <c r="S57" s="825"/>
      <c r="T57" s="809"/>
      <c r="U57" s="826"/>
      <c r="V57" s="839">
        <f>'Front Page'!$A$21</f>
        <v>0</v>
      </c>
      <c r="W57" s="831"/>
      <c r="X57" s="831"/>
      <c r="Y57" s="831"/>
      <c r="Z57" s="831"/>
      <c r="AA57" s="832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16.5" customHeight="1" thickBot="1" x14ac:dyDescent="0.3">
      <c r="A58" s="827"/>
      <c r="B58" s="828"/>
      <c r="C58" s="829"/>
      <c r="D58" s="839" t="s">
        <v>1415</v>
      </c>
      <c r="E58" s="831"/>
      <c r="F58" s="831"/>
      <c r="G58" s="831"/>
      <c r="H58" s="831"/>
      <c r="I58" s="832"/>
      <c r="J58" s="5"/>
      <c r="K58" s="5"/>
      <c r="L58" s="5"/>
      <c r="M58" s="5"/>
      <c r="N58" s="5"/>
      <c r="O58" s="5"/>
      <c r="P58" s="5"/>
      <c r="Q58" s="5"/>
      <c r="R58" s="5"/>
      <c r="S58" s="827"/>
      <c r="T58" s="828"/>
      <c r="U58" s="829"/>
      <c r="V58" s="839" t="s">
        <v>1416</v>
      </c>
      <c r="W58" s="831"/>
      <c r="X58" s="831"/>
      <c r="Y58" s="831"/>
      <c r="Z58" s="831"/>
      <c r="AA58" s="832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15.75" customHeight="1" thickBot="1" x14ac:dyDescent="0.3">
      <c r="A59" s="830"/>
      <c r="B59" s="831"/>
      <c r="C59" s="832"/>
      <c r="D59" s="915" t="str">
        <f>'Front Page'!$D$4</f>
        <v>Doc Nº</v>
      </c>
      <c r="E59" s="832"/>
      <c r="F59" s="846"/>
      <c r="G59" s="832"/>
      <c r="H59" s="33"/>
      <c r="I59" s="544"/>
      <c r="J59" s="5"/>
      <c r="K59" s="5"/>
      <c r="L59" s="5"/>
      <c r="M59" s="5"/>
      <c r="N59" s="5"/>
      <c r="O59" s="5"/>
      <c r="P59" s="5"/>
      <c r="Q59" s="5"/>
      <c r="R59" s="5"/>
      <c r="S59" s="830"/>
      <c r="T59" s="831"/>
      <c r="U59" s="832"/>
      <c r="V59" s="915" t="str">
        <f>'Front Page'!$D$4</f>
        <v>Doc Nº</v>
      </c>
      <c r="W59" s="832"/>
      <c r="X59" s="846"/>
      <c r="Y59" s="832"/>
      <c r="Z59" s="33"/>
      <c r="AA59" s="544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15.75" customHeight="1" thickBot="1" x14ac:dyDescent="0.3">
      <c r="A60" s="987"/>
      <c r="B60" s="834"/>
      <c r="C60" s="835"/>
      <c r="D60" s="914" t="str">
        <f>'Front Page'!$D$5</f>
        <v>Project</v>
      </c>
      <c r="E60" s="835"/>
      <c r="F60" s="899"/>
      <c r="G60" s="835"/>
      <c r="H60" s="131" t="s">
        <v>5</v>
      </c>
      <c r="I60" s="132"/>
      <c r="J60" s="5"/>
      <c r="K60" s="5"/>
      <c r="L60" s="5"/>
      <c r="M60" s="5"/>
      <c r="N60" s="5"/>
      <c r="O60" s="5"/>
      <c r="P60" s="5"/>
      <c r="Q60" s="5"/>
      <c r="R60" s="5"/>
      <c r="S60" s="987"/>
      <c r="T60" s="834"/>
      <c r="U60" s="835"/>
      <c r="V60" s="914" t="str">
        <f>'Front Page'!$D$5</f>
        <v>Project</v>
      </c>
      <c r="W60" s="835"/>
      <c r="X60" s="899"/>
      <c r="Y60" s="835"/>
      <c r="Z60" s="131" t="s">
        <v>5</v>
      </c>
      <c r="AA60" s="427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13.5" customHeight="1" thickTop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8" customHeight="1" x14ac:dyDescent="0.25">
      <c r="A63" s="134" t="s">
        <v>1369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34" t="s">
        <v>1369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8" customHeight="1" x14ac:dyDescent="0.25">
      <c r="A64" s="134" t="s">
        <v>1370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34" t="s">
        <v>1370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8" customHeight="1" x14ac:dyDescent="0.25">
      <c r="A65" s="13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34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8" customHeight="1" x14ac:dyDescent="0.25">
      <c r="A66" s="134"/>
      <c r="B66" s="5" t="s">
        <v>1371</v>
      </c>
      <c r="C66" s="5" t="s">
        <v>1358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34"/>
      <c r="T66" s="5" t="s">
        <v>1371</v>
      </c>
      <c r="U66" s="5" t="s">
        <v>1358</v>
      </c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">
      <c r="A67" s="5"/>
      <c r="B67" s="5" t="s">
        <v>1359</v>
      </c>
      <c r="C67" s="5" t="s">
        <v>1360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 t="s">
        <v>1359</v>
      </c>
      <c r="U67" s="5" t="s">
        <v>1360</v>
      </c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">
      <c r="A68" s="14" t="s">
        <v>1372</v>
      </c>
      <c r="B68" s="562">
        <f>-B48*B14/1000*B39+((B49*MIN(B31,B20)/1000)+B50*B30/1000)</f>
        <v>464531.84502203163</v>
      </c>
      <c r="C68" s="562">
        <f>-C48*B14/1000*B39+((C49*MIN(B20,B31)/1000)+C50*B30/1000)</f>
        <v>184105.06195649112</v>
      </c>
      <c r="D68" s="5" t="s">
        <v>1373</v>
      </c>
      <c r="E68" s="14"/>
      <c r="F68" s="5"/>
      <c r="G68" s="5"/>
      <c r="H68" s="5"/>
      <c r="I68" s="5"/>
      <c r="J68" s="5"/>
      <c r="K68" s="5"/>
      <c r="L68" s="5"/>
      <c r="M68" s="265"/>
      <c r="N68" s="306"/>
      <c r="O68" s="5"/>
      <c r="P68" s="5"/>
      <c r="Q68" s="5"/>
      <c r="R68" s="5"/>
      <c r="S68" s="14" t="s">
        <v>1372</v>
      </c>
      <c r="T68" s="562">
        <f>B68</f>
        <v>464531.84502203163</v>
      </c>
      <c r="U68" s="562">
        <f>C68</f>
        <v>184105.06195649112</v>
      </c>
      <c r="V68" s="5" t="s">
        <v>1373</v>
      </c>
      <c r="W68" s="14"/>
      <c r="X68" s="5"/>
      <c r="Y68" s="5"/>
      <c r="Z68" s="5"/>
      <c r="AA68" s="5"/>
      <c r="AB68" s="5"/>
      <c r="AC68" s="5"/>
      <c r="AD68" s="5"/>
      <c r="AE68" s="265"/>
      <c r="AF68" s="306"/>
      <c r="AG68" s="5"/>
      <c r="AH68" s="5"/>
      <c r="AI68" s="5"/>
      <c r="AJ68" s="5"/>
    </row>
    <row r="69" spans="1:36" x14ac:dyDescent="0.2">
      <c r="A69" s="14" t="s">
        <v>1374</v>
      </c>
      <c r="B69" s="562">
        <f>-B68/(B38)</f>
        <v>-42.704344310229516</v>
      </c>
      <c r="C69" s="562">
        <f>-C68/(B38)</f>
        <v>-16.924751315323181</v>
      </c>
      <c r="D69" s="5" t="s">
        <v>1375</v>
      </c>
      <c r="E69" s="14"/>
      <c r="F69" s="5"/>
      <c r="G69" s="5"/>
      <c r="H69" s="5"/>
      <c r="I69" s="5"/>
      <c r="J69" s="5"/>
      <c r="K69" s="5"/>
      <c r="L69" s="5"/>
      <c r="M69" s="5"/>
      <c r="N69" s="5"/>
      <c r="O69" s="306"/>
      <c r="P69" s="5"/>
      <c r="Q69" s="5"/>
      <c r="R69" s="5"/>
      <c r="S69" s="14" t="s">
        <v>1374</v>
      </c>
      <c r="T69" s="562">
        <f>B69*145.04</f>
        <v>-6193.8380987556884</v>
      </c>
      <c r="U69" s="562">
        <f>C69*145.04</f>
        <v>-2454.7659307744743</v>
      </c>
      <c r="V69" s="64" t="s">
        <v>1376</v>
      </c>
      <c r="W69" s="14"/>
      <c r="X69" s="5"/>
      <c r="Y69" s="5"/>
      <c r="Z69" s="5"/>
      <c r="AA69" s="5"/>
      <c r="AB69" s="5"/>
      <c r="AC69" s="5"/>
      <c r="AD69" s="5"/>
      <c r="AE69" s="5"/>
      <c r="AF69" s="5"/>
      <c r="AG69" s="306"/>
      <c r="AH69" s="5"/>
      <c r="AI69" s="5"/>
      <c r="AJ69" s="5"/>
    </row>
    <row r="70" spans="1:36" x14ac:dyDescent="0.2">
      <c r="A70" s="5" t="s">
        <v>1377</v>
      </c>
      <c r="B70" s="260">
        <f>IF(B68&lt;0,((-B68/0.453/9.8)/15000)*(25.4^2),((B68/0.453/9.8)/15000)*(25.4^2))</f>
        <v>4500.5686224026349</v>
      </c>
      <c r="C70" s="260">
        <f>IF(C68&lt;0,((-C68/0.453/9.8)/18000)*(25.4^2),((C68/0.453/9.8)/18000)*(25.4^2))</f>
        <v>1486.4023388026633</v>
      </c>
      <c r="D70" s="5" t="s">
        <v>1378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 t="s">
        <v>1377</v>
      </c>
      <c r="T70" s="417">
        <f>B70/(25.4*25.4)</f>
        <v>6.9758953165147171</v>
      </c>
      <c r="U70" s="417">
        <f>C70/(25.4*25.4)</f>
        <v>2.3039282330005943</v>
      </c>
      <c r="V70" s="64" t="s">
        <v>1379</v>
      </c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ht="18" customHeight="1" x14ac:dyDescent="0.25">
      <c r="A73" s="13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34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">
      <c r="A74" s="5"/>
      <c r="B74" s="5"/>
      <c r="C74" s="5"/>
      <c r="D74" s="5"/>
      <c r="E74" s="5"/>
      <c r="F74" s="5"/>
      <c r="G74" s="5"/>
      <c r="H74" s="5"/>
      <c r="I74" s="5"/>
      <c r="J74" s="563" t="str">
        <f>IF(K74&gt;1,"OK","ERROR")</f>
        <v>ERROR</v>
      </c>
      <c r="K74" s="5">
        <f>B20/B31</f>
        <v>0.59628479399994394</v>
      </c>
      <c r="L74" s="248" t="s">
        <v>1380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63" t="str">
        <f>IF(AC74&gt;1,"OK","ERROR")</f>
        <v>ERROR</v>
      </c>
      <c r="AC74" s="5">
        <f>T20/T31</f>
        <v>0.59628479399994394</v>
      </c>
      <c r="AD74" s="248" t="s">
        <v>1380</v>
      </c>
      <c r="AE74" s="5"/>
      <c r="AF74" s="5"/>
      <c r="AG74" s="5"/>
      <c r="AH74" s="5"/>
      <c r="AI74" s="5"/>
      <c r="AJ74" s="5"/>
    </row>
    <row r="75" spans="1:3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ht="18" customHeight="1" x14ac:dyDescent="0.25">
      <c r="A76" s="420" t="s">
        <v>942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420" t="s">
        <v>942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">
      <c r="A78" s="563" t="str">
        <f>IF(B78&gt;1,"OK","ERROR")</f>
        <v>OK</v>
      </c>
      <c r="B78" s="5">
        <f>B17/B30</f>
        <v>1.7418325357290441</v>
      </c>
      <c r="C78" s="248" t="s">
        <v>1381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63" t="str">
        <f>IF(T78&gt;1,"OK","ERROR")</f>
        <v>OK</v>
      </c>
      <c r="T78" s="5">
        <f>T17/T30</f>
        <v>1.7418325357290441</v>
      </c>
      <c r="U78" s="248" t="s">
        <v>1381</v>
      </c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">
      <c r="A79" s="563" t="str">
        <f>IF(B79&gt;1,"OK","ERROR")</f>
        <v>OK</v>
      </c>
      <c r="B79" s="5">
        <f>B38/B70</f>
        <v>2.4169966334733815</v>
      </c>
      <c r="C79" s="5" t="s">
        <v>1382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63" t="str">
        <f>IF(T79&gt;1,"OK","ERROR")</f>
        <v>OK</v>
      </c>
      <c r="T79" s="5">
        <f>T38/T70</f>
        <v>2.4169966334733815</v>
      </c>
      <c r="U79" s="5" t="s">
        <v>1382</v>
      </c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">
      <c r="A80" s="563" t="str">
        <f>IF(B80&gt;1,"OK","ERROR")</f>
        <v>OK</v>
      </c>
      <c r="B80" s="5">
        <f>B38/C70</f>
        <v>7.3182468333745412</v>
      </c>
      <c r="C80" s="1003" t="s">
        <v>1383</v>
      </c>
      <c r="D80" s="809"/>
      <c r="E80" s="809"/>
      <c r="F80" s="809"/>
      <c r="G80" s="809"/>
      <c r="H80" s="809"/>
      <c r="I80" s="809"/>
      <c r="J80" s="5"/>
      <c r="K80" s="5"/>
      <c r="L80" s="5"/>
      <c r="M80" s="5"/>
      <c r="N80" s="5"/>
      <c r="O80" s="5"/>
      <c r="P80" s="5"/>
      <c r="Q80" s="5"/>
      <c r="R80" s="5"/>
      <c r="S80" s="563" t="str">
        <f>IF(T80&gt;1,"OK","ERROR")</f>
        <v>OK</v>
      </c>
      <c r="T80" s="5">
        <f>T38/U70</f>
        <v>7.3182468333745403</v>
      </c>
      <c r="U80" s="1003" t="s">
        <v>1383</v>
      </c>
      <c r="V80" s="809"/>
      <c r="W80" s="809"/>
      <c r="X80" s="809"/>
      <c r="Y80" s="809"/>
      <c r="Z80" s="809"/>
      <c r="AA80" s="809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">
      <c r="A81" s="5"/>
      <c r="B81" s="5"/>
      <c r="C81" s="809"/>
      <c r="D81" s="809"/>
      <c r="E81" s="809"/>
      <c r="F81" s="809"/>
      <c r="G81" s="809"/>
      <c r="H81" s="809"/>
      <c r="I81" s="809"/>
      <c r="J81" s="5"/>
      <c r="K81" s="5"/>
      <c r="L81" s="285"/>
      <c r="M81" s="5"/>
      <c r="N81" s="5"/>
      <c r="O81" s="5"/>
      <c r="P81" s="5"/>
      <c r="Q81" s="5"/>
      <c r="R81" s="5"/>
      <c r="S81" s="5"/>
      <c r="T81" s="5"/>
      <c r="U81" s="809"/>
      <c r="V81" s="809"/>
      <c r="W81" s="809"/>
      <c r="X81" s="809"/>
      <c r="Y81" s="809"/>
      <c r="Z81" s="809"/>
      <c r="AA81" s="809"/>
      <c r="AB81" s="5"/>
      <c r="AC81" s="5"/>
      <c r="AD81" s="285"/>
      <c r="AE81" s="5"/>
      <c r="AF81" s="5"/>
      <c r="AG81" s="5"/>
      <c r="AH81" s="5"/>
      <c r="AI81" s="5"/>
      <c r="AJ81" s="5"/>
    </row>
    <row r="82" spans="1:36" x14ac:dyDescent="0.2">
      <c r="A82" s="563" t="str">
        <f>IF(B82&lt;1,"OK","ERROR")</f>
        <v>OK</v>
      </c>
      <c r="B82" s="5">
        <f>B21/B41</f>
        <v>0.35</v>
      </c>
      <c r="C82" s="64" t="s">
        <v>1423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63" t="str">
        <f>IF(T82&lt;1,"OK","ERROR")</f>
        <v>OK</v>
      </c>
      <c r="T82" s="5">
        <f>T21/T41</f>
        <v>0.35</v>
      </c>
      <c r="U82" s="64" t="s">
        <v>1423</v>
      </c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">
      <c r="A83" s="563" t="str">
        <f>IF(B83&lt;1,"OK","ERROR")</f>
        <v>OK</v>
      </c>
      <c r="B83" s="5">
        <f>B31/B42</f>
        <v>0.50311529493745266</v>
      </c>
      <c r="C83" s="64" t="s">
        <v>1385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332"/>
      <c r="P83" s="5"/>
      <c r="Q83" s="5"/>
      <c r="R83" s="5"/>
      <c r="S83" s="563" t="str">
        <f>IF(T83&lt;1,"OK","ERROR")</f>
        <v>OK</v>
      </c>
      <c r="T83" s="5">
        <f>T31/T42</f>
        <v>0.50311529493745266</v>
      </c>
      <c r="U83" s="64" t="s">
        <v>1385</v>
      </c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32"/>
      <c r="AH83" s="5"/>
      <c r="AI83" s="5"/>
      <c r="AJ83" s="5"/>
    </row>
    <row r="84" spans="1:3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332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32"/>
      <c r="AH84" s="5"/>
      <c r="AI84" s="5"/>
      <c r="AJ84" s="5"/>
    </row>
    <row r="85" spans="1:3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26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265"/>
      <c r="AH85" s="5"/>
      <c r="AI85" s="5"/>
      <c r="AJ85" s="5"/>
    </row>
    <row r="86" spans="1:3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306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</sheetData>
  <mergeCells count="64">
    <mergeCell ref="U80:AA81"/>
    <mergeCell ref="S59:U59"/>
    <mergeCell ref="V59:W59"/>
    <mergeCell ref="X59:Y59"/>
    <mergeCell ref="S60:U60"/>
    <mergeCell ref="V60:W60"/>
    <mergeCell ref="X60:Y60"/>
    <mergeCell ref="S7:AA9"/>
    <mergeCell ref="S56:U58"/>
    <mergeCell ref="V56:AA56"/>
    <mergeCell ref="V57:AA57"/>
    <mergeCell ref="V58:AA58"/>
    <mergeCell ref="AG4:AH4"/>
    <mergeCell ref="S5:U5"/>
    <mergeCell ref="V5:W5"/>
    <mergeCell ref="X5:Y5"/>
    <mergeCell ref="AB5:AD5"/>
    <mergeCell ref="AE5:AF5"/>
    <mergeCell ref="AG5:AH5"/>
    <mergeCell ref="S4:U4"/>
    <mergeCell ref="V4:W4"/>
    <mergeCell ref="X4:Y4"/>
    <mergeCell ref="AB4:AD4"/>
    <mergeCell ref="AE4:AF4"/>
    <mergeCell ref="S1:U3"/>
    <mergeCell ref="V1:AA1"/>
    <mergeCell ref="AB1:AD3"/>
    <mergeCell ref="AE1:AJ1"/>
    <mergeCell ref="V2:AA2"/>
    <mergeCell ref="AE2:AJ2"/>
    <mergeCell ref="V3:AA3"/>
    <mergeCell ref="AE3:AJ3"/>
    <mergeCell ref="A1:C3"/>
    <mergeCell ref="D1:I1"/>
    <mergeCell ref="J1:L3"/>
    <mergeCell ref="M1:R1"/>
    <mergeCell ref="D2:I2"/>
    <mergeCell ref="M2:R2"/>
    <mergeCell ref="D3:I3"/>
    <mergeCell ref="M3:R3"/>
    <mergeCell ref="O5:P5"/>
    <mergeCell ref="A4:C4"/>
    <mergeCell ref="D4:E4"/>
    <mergeCell ref="F4:G4"/>
    <mergeCell ref="J4:L4"/>
    <mergeCell ref="M4:N4"/>
    <mergeCell ref="O4:P4"/>
    <mergeCell ref="A5:C5"/>
    <mergeCell ref="D5:E5"/>
    <mergeCell ref="F5:G5"/>
    <mergeCell ref="J5:L5"/>
    <mergeCell ref="M5:N5"/>
    <mergeCell ref="A60:C60"/>
    <mergeCell ref="D60:E60"/>
    <mergeCell ref="F60:G60"/>
    <mergeCell ref="C80:I81"/>
    <mergeCell ref="A7:I9"/>
    <mergeCell ref="A56:C58"/>
    <mergeCell ref="D56:I56"/>
    <mergeCell ref="D57:I57"/>
    <mergeCell ref="D58:I58"/>
    <mergeCell ref="A59:C59"/>
    <mergeCell ref="D59:E59"/>
    <mergeCell ref="F59:G59"/>
  </mergeCells>
  <pageMargins left="0.74803149606299213" right="0.74803149606299213" top="0.98425196850393704" bottom="0.98425196850393704" header="0" footer="0"/>
  <pageSetup paperSize="9" scale="89" fitToHeight="0" orientation="portrait"/>
  <rowBreaks count="2" manualBreakCount="2">
    <brk id="55" max="8" man="1"/>
    <brk id="55" min="18" max="2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9">
    <tabColor rgb="FF00B050"/>
    <pageSetUpPr fitToPage="1"/>
  </sheetPr>
  <dimension ref="A1:S207"/>
  <sheetViews>
    <sheetView topLeftCell="A168" workbookViewId="0">
      <selection activeCell="I50" sqref="I50"/>
    </sheetView>
    <sheetView tabSelected="1" topLeftCell="A60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9" max="9" width="14.42578125" customWidth="1"/>
    <col min="10" max="10" width="7" customWidth="1"/>
    <col min="17" max="17" width="8.140625" customWidth="1"/>
  </cols>
  <sheetData>
    <row r="1" spans="1:19" ht="17.25" customHeight="1" thickTop="1" thickBot="1" x14ac:dyDescent="0.3">
      <c r="A1" s="822"/>
      <c r="B1" s="823"/>
      <c r="C1" s="824"/>
      <c r="D1" s="913" t="str">
        <f>'Front Page'!$A$13</f>
        <v>Mechanical  Calculations</v>
      </c>
      <c r="E1" s="842"/>
      <c r="F1" s="842"/>
      <c r="G1" s="842"/>
      <c r="H1" s="842"/>
      <c r="I1" s="843"/>
      <c r="J1" s="822"/>
      <c r="K1" s="823"/>
      <c r="L1" s="824"/>
      <c r="M1" s="913" t="str">
        <f>'Front Page'!$A$13</f>
        <v>Mechanical  Calculations</v>
      </c>
      <c r="N1" s="842"/>
      <c r="O1" s="842"/>
      <c r="P1" s="842"/>
      <c r="Q1" s="842"/>
      <c r="R1" s="843"/>
      <c r="S1" s="5"/>
    </row>
    <row r="2" spans="1:19" ht="16.5" customHeight="1" thickBot="1" x14ac:dyDescent="0.3">
      <c r="A2" s="825"/>
      <c r="B2" s="809"/>
      <c r="C2" s="826"/>
      <c r="D2" s="839"/>
      <c r="E2" s="831"/>
      <c r="F2" s="831"/>
      <c r="G2" s="831"/>
      <c r="H2" s="831"/>
      <c r="I2" s="832"/>
      <c r="J2" s="825"/>
      <c r="K2" s="809"/>
      <c r="L2" s="826"/>
      <c r="M2" s="839"/>
      <c r="N2" s="831"/>
      <c r="O2" s="831"/>
      <c r="P2" s="831"/>
      <c r="Q2" s="831"/>
      <c r="R2" s="832"/>
      <c r="S2" s="5"/>
    </row>
    <row r="3" spans="1:19" ht="16.5" customHeight="1" thickBot="1" x14ac:dyDescent="0.3">
      <c r="A3" s="827"/>
      <c r="B3" s="828"/>
      <c r="C3" s="829"/>
      <c r="D3" s="839" t="s">
        <v>1424</v>
      </c>
      <c r="E3" s="831"/>
      <c r="F3" s="831"/>
      <c r="G3" s="831"/>
      <c r="H3" s="831"/>
      <c r="I3" s="832"/>
      <c r="J3" s="827"/>
      <c r="K3" s="828"/>
      <c r="L3" s="829"/>
      <c r="M3" s="839" t="s">
        <v>1424</v>
      </c>
      <c r="N3" s="831"/>
      <c r="O3" s="831"/>
      <c r="P3" s="831"/>
      <c r="Q3" s="831"/>
      <c r="R3" s="832"/>
      <c r="S3" s="5"/>
    </row>
    <row r="4" spans="1:19" ht="15.75" customHeight="1" thickBot="1" x14ac:dyDescent="0.3">
      <c r="A4" s="830"/>
      <c r="B4" s="831"/>
      <c r="C4" s="832"/>
      <c r="D4" s="915" t="str">
        <f>'Front Page'!$D$4</f>
        <v>Doc Nº</v>
      </c>
      <c r="E4" s="832"/>
      <c r="F4" s="846"/>
      <c r="G4" s="832"/>
      <c r="H4" s="33"/>
      <c r="I4" s="544"/>
      <c r="J4" s="830"/>
      <c r="K4" s="831"/>
      <c r="L4" s="832"/>
      <c r="M4" s="915" t="str">
        <f>'Front Page'!$D$4</f>
        <v>Doc Nº</v>
      </c>
      <c r="N4" s="832"/>
      <c r="O4" s="846"/>
      <c r="P4" s="832"/>
      <c r="Q4" s="33"/>
      <c r="R4" s="544"/>
      <c r="S4" s="5"/>
    </row>
    <row r="5" spans="1:19" ht="15.75" customHeight="1" thickBot="1" x14ac:dyDescent="0.3">
      <c r="A5" s="987"/>
      <c r="B5" s="834"/>
      <c r="C5" s="835"/>
      <c r="D5" s="914" t="str">
        <f>'Front Page'!$D$5</f>
        <v>Project</v>
      </c>
      <c r="E5" s="835"/>
      <c r="F5" s="899"/>
      <c r="G5" s="835"/>
      <c r="H5" s="131" t="s">
        <v>5</v>
      </c>
      <c r="I5" s="132"/>
      <c r="J5" s="987"/>
      <c r="K5" s="834"/>
      <c r="L5" s="835"/>
      <c r="M5" s="914" t="str">
        <f>'Front Page'!$D$5</f>
        <v>Project</v>
      </c>
      <c r="N5" s="835"/>
      <c r="O5" s="899"/>
      <c r="P5" s="835"/>
      <c r="Q5" s="131" t="s">
        <v>5</v>
      </c>
      <c r="R5" s="427"/>
      <c r="S5" s="5"/>
    </row>
    <row r="6" spans="1:19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</row>
    <row r="7" spans="1:19" ht="18" customHeight="1" x14ac:dyDescent="0.25">
      <c r="A7" s="134" t="s">
        <v>1425</v>
      </c>
      <c r="B7" s="5"/>
      <c r="C7" s="5"/>
      <c r="D7" s="5"/>
      <c r="E7" s="5"/>
      <c r="F7" s="5"/>
      <c r="G7" s="5"/>
      <c r="H7" s="5"/>
      <c r="I7" s="5"/>
      <c r="J7" s="134" t="s">
        <v>1425</v>
      </c>
      <c r="K7" s="5"/>
      <c r="L7" s="5"/>
      <c r="M7" s="5"/>
      <c r="N7" s="5"/>
      <c r="O7" s="5"/>
      <c r="P7" s="5"/>
      <c r="Q7" s="5"/>
      <c r="R7" s="5"/>
      <c r="S7" s="5"/>
    </row>
    <row r="8" spans="1:19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5.75" customHeight="1" x14ac:dyDescent="0.25">
      <c r="A9" s="102" t="s">
        <v>1426</v>
      </c>
      <c r="B9" s="5"/>
      <c r="C9" s="5"/>
      <c r="D9" s="5"/>
      <c r="E9" s="5"/>
      <c r="F9" s="5"/>
      <c r="G9" s="5"/>
      <c r="H9" s="5"/>
      <c r="I9" s="5"/>
      <c r="J9" s="102" t="s">
        <v>1426</v>
      </c>
      <c r="K9" s="5"/>
      <c r="L9" s="5"/>
      <c r="M9" s="5"/>
      <c r="N9" s="5"/>
      <c r="O9" s="5"/>
      <c r="P9" s="5"/>
      <c r="Q9" s="5"/>
      <c r="R9" s="5"/>
      <c r="S9" s="5"/>
    </row>
    <row r="10" spans="1:19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">
      <c r="A11" s="5" t="s">
        <v>1427</v>
      </c>
      <c r="B11" s="389">
        <f>'Main Dimensions Calcs'!F65</f>
        <v>1920</v>
      </c>
      <c r="C11" s="64" t="s">
        <v>1428</v>
      </c>
      <c r="D11" s="5"/>
      <c r="E11" s="5"/>
      <c r="F11" s="5"/>
      <c r="G11" s="5"/>
      <c r="H11" s="5"/>
      <c r="I11" s="5"/>
      <c r="J11" s="5" t="s">
        <v>1427</v>
      </c>
      <c r="K11" s="391">
        <f>B11/(25.4*25.4)</f>
        <v>2.9760059520119042</v>
      </c>
      <c r="L11" s="64" t="s">
        <v>1429</v>
      </c>
      <c r="M11" s="5"/>
      <c r="N11" s="5"/>
      <c r="O11" s="5"/>
      <c r="P11" s="5"/>
      <c r="Q11" s="5"/>
      <c r="R11" s="5"/>
      <c r="S11" s="5"/>
    </row>
    <row r="12" spans="1:19" x14ac:dyDescent="0.2">
      <c r="A12" s="5" t="s">
        <v>1090</v>
      </c>
      <c r="B12" s="389">
        <f>('Main Dimensions Calcs'!D53/1000)^2*PI()/4</f>
        <v>333.29156461934122</v>
      </c>
      <c r="C12" s="5" t="s">
        <v>1430</v>
      </c>
      <c r="D12" s="5"/>
      <c r="E12" s="5"/>
      <c r="F12" s="5"/>
      <c r="G12" s="5"/>
      <c r="H12" s="5"/>
      <c r="I12" s="5"/>
      <c r="J12" s="5" t="s">
        <v>1090</v>
      </c>
      <c r="K12" s="391">
        <f>B12/(25.4*25.4)*1000000</f>
        <v>516602.95836589567</v>
      </c>
      <c r="L12" s="64" t="s">
        <v>1431</v>
      </c>
      <c r="M12" s="5"/>
      <c r="N12" s="5"/>
      <c r="O12" s="5"/>
      <c r="P12" s="5"/>
      <c r="Q12" s="5"/>
      <c r="R12" s="5"/>
      <c r="S12" s="5"/>
    </row>
    <row r="13" spans="1:19" x14ac:dyDescent="0.2">
      <c r="A13" s="5" t="s">
        <v>197</v>
      </c>
      <c r="B13" s="389">
        <f>'Weight Calculations'!H70+'Weight Calculations'!H71</f>
        <v>75332.058219880302</v>
      </c>
      <c r="C13" s="64" t="s">
        <v>1432</v>
      </c>
      <c r="D13" s="5"/>
      <c r="E13" s="5"/>
      <c r="F13" s="5"/>
      <c r="G13" s="5"/>
      <c r="H13" s="5"/>
      <c r="I13" s="5"/>
      <c r="J13" s="5" t="s">
        <v>197</v>
      </c>
      <c r="K13" s="391">
        <f>B13*2.205</f>
        <v>166107.18837483609</v>
      </c>
      <c r="L13" s="64" t="s">
        <v>1433</v>
      </c>
      <c r="M13" s="5"/>
      <c r="N13" s="5"/>
      <c r="O13" s="5"/>
      <c r="P13" s="5"/>
      <c r="Q13" s="5"/>
      <c r="R13" s="5"/>
      <c r="S13" s="5"/>
    </row>
    <row r="14" spans="1:19" x14ac:dyDescent="0.2">
      <c r="A14" s="5" t="s">
        <v>1119</v>
      </c>
      <c r="B14" s="389">
        <f>'Design Conditions'!G13</f>
        <v>0.15</v>
      </c>
      <c r="C14" s="5" t="s">
        <v>1434</v>
      </c>
      <c r="D14" s="5"/>
      <c r="E14" s="5"/>
      <c r="F14" s="5"/>
      <c r="G14" s="5"/>
      <c r="H14" s="5"/>
      <c r="I14" s="5"/>
      <c r="J14" s="5" t="s">
        <v>1119</v>
      </c>
      <c r="K14" s="389">
        <f>B14*14.5</f>
        <v>2.1749999999999998</v>
      </c>
      <c r="L14" s="64" t="s">
        <v>1420</v>
      </c>
      <c r="M14" s="5"/>
      <c r="N14" s="5"/>
      <c r="O14" s="5"/>
      <c r="P14" s="5"/>
      <c r="Q14" s="5"/>
      <c r="R14" s="5"/>
      <c r="S14" s="5"/>
    </row>
    <row r="15" spans="1:19" x14ac:dyDescent="0.2">
      <c r="A15" s="5" t="s">
        <v>1435</v>
      </c>
      <c r="B15" s="389">
        <f>'Design Conditions'!G25</f>
        <v>0.1875</v>
      </c>
      <c r="C15" s="5" t="s">
        <v>1436</v>
      </c>
      <c r="D15" s="5"/>
      <c r="E15" s="5"/>
      <c r="F15" s="5"/>
      <c r="G15" s="5"/>
      <c r="H15" s="5"/>
      <c r="I15" s="5"/>
      <c r="J15" s="5" t="s">
        <v>1435</v>
      </c>
      <c r="K15" s="447">
        <f>B15*14.5</f>
        <v>2.71875</v>
      </c>
      <c r="L15" s="64" t="s">
        <v>1437</v>
      </c>
      <c r="M15" s="5"/>
      <c r="N15" s="5"/>
      <c r="O15" s="5"/>
      <c r="P15" s="5"/>
      <c r="Q15" s="5"/>
      <c r="R15" s="5"/>
      <c r="S15" s="5"/>
    </row>
    <row r="16" spans="1:19" x14ac:dyDescent="0.2">
      <c r="A16" s="5" t="s">
        <v>898</v>
      </c>
      <c r="B16" s="389">
        <f>'Allowable Stresses'!G31</f>
        <v>155.12961941533371</v>
      </c>
      <c r="C16" s="5" t="s">
        <v>1438</v>
      </c>
      <c r="D16" s="5"/>
      <c r="E16" s="5"/>
      <c r="F16" s="5"/>
      <c r="G16" s="5"/>
      <c r="H16" s="5"/>
      <c r="I16" s="5"/>
      <c r="J16" s="5" t="s">
        <v>898</v>
      </c>
      <c r="K16" s="389">
        <f>B16*145.04</f>
        <v>22500</v>
      </c>
      <c r="L16" s="64" t="s">
        <v>1439</v>
      </c>
      <c r="M16" s="5"/>
      <c r="N16" s="5"/>
      <c r="O16" s="5"/>
      <c r="P16" s="5"/>
      <c r="Q16" s="5"/>
      <c r="R16" s="5"/>
      <c r="S16" s="5"/>
    </row>
    <row r="17" spans="1:19" x14ac:dyDescent="0.2">
      <c r="A17" s="5" t="s">
        <v>1440</v>
      </c>
      <c r="B17" s="389">
        <f>'Main Dimensions Calcs'!D61</f>
        <v>60</v>
      </c>
      <c r="C17" s="5" t="s">
        <v>1441</v>
      </c>
      <c r="D17" s="5"/>
      <c r="E17" s="5"/>
      <c r="F17" s="5"/>
      <c r="G17" s="5"/>
      <c r="H17" s="5"/>
      <c r="I17" s="5"/>
      <c r="J17" s="5" t="s">
        <v>1440</v>
      </c>
      <c r="K17" s="389">
        <f>B17</f>
        <v>60</v>
      </c>
      <c r="L17" s="5" t="s">
        <v>1441</v>
      </c>
      <c r="M17" s="5"/>
      <c r="N17" s="5"/>
      <c r="O17" s="5"/>
      <c r="P17" s="5"/>
      <c r="Q17" s="5"/>
      <c r="R17" s="5"/>
      <c r="S17" s="5"/>
    </row>
    <row r="18" spans="1:19" x14ac:dyDescent="0.2">
      <c r="A18" s="5" t="s">
        <v>1442</v>
      </c>
      <c r="B18" s="568" t="str">
        <f>CONCATENATE('Main Dimensions Calcs'!D64,"x",'Main Dimensions Calcs'!E64)</f>
        <v>120x16</v>
      </c>
      <c r="C18" s="5" t="s">
        <v>1443</v>
      </c>
      <c r="D18" s="5"/>
      <c r="E18" s="5"/>
      <c r="F18" s="5"/>
      <c r="G18" s="5"/>
      <c r="H18" s="5"/>
      <c r="I18" s="5"/>
      <c r="J18" s="5" t="s">
        <v>1442</v>
      </c>
      <c r="K18" s="568" t="str">
        <f>CONCATENATE(ROUND('Main Dimensions Calcs'!D64/25.4,2),"x",ROUND('Main Dimensions Calcs'!E64/25.4,2))</f>
        <v>4.72x0.63</v>
      </c>
      <c r="L18" s="64" t="s">
        <v>1444</v>
      </c>
      <c r="M18" s="5"/>
      <c r="N18" s="5"/>
      <c r="O18" s="5"/>
      <c r="P18" s="5"/>
      <c r="Q18" s="5"/>
      <c r="R18" s="5"/>
      <c r="S18" s="5"/>
    </row>
    <row r="19" spans="1:19" x14ac:dyDescent="0.2">
      <c r="A19" s="5" t="s">
        <v>1445</v>
      </c>
      <c r="B19" s="568">
        <f>+'Main Dimensions Calcs'!C65</f>
        <v>15</v>
      </c>
      <c r="C19" s="5" t="s">
        <v>1446</v>
      </c>
      <c r="D19" s="5"/>
      <c r="E19" s="5"/>
      <c r="F19" s="5"/>
      <c r="G19" s="5"/>
      <c r="H19" s="5"/>
      <c r="I19" s="5"/>
      <c r="J19" s="5" t="str">
        <f>A19</f>
        <v>Th,pad</v>
      </c>
      <c r="K19" s="569">
        <f>B19/25.4</f>
        <v>0.59055118110236227</v>
      </c>
      <c r="L19" s="64" t="s">
        <v>1447</v>
      </c>
      <c r="M19" s="5"/>
      <c r="N19" s="5"/>
      <c r="O19" s="5"/>
      <c r="P19" s="5"/>
      <c r="Q19" s="5"/>
      <c r="R19" s="5"/>
      <c r="S19" s="5"/>
    </row>
    <row r="20" spans="1:19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5.75" customHeight="1" x14ac:dyDescent="0.25">
      <c r="A21" s="102" t="s">
        <v>1448</v>
      </c>
      <c r="B21" s="5"/>
      <c r="C21" s="5"/>
      <c r="D21" s="5"/>
      <c r="E21" s="5"/>
      <c r="F21" s="5"/>
      <c r="G21" s="5"/>
      <c r="H21" s="5"/>
      <c r="I21" s="5"/>
      <c r="J21" s="102" t="s">
        <v>1448</v>
      </c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2">
      <c r="A23" s="5" t="s">
        <v>1449</v>
      </c>
      <c r="B23" s="5">
        <f>B12*B14*100000</f>
        <v>4999373.4692901177</v>
      </c>
      <c r="C23" s="982" t="s">
        <v>1450</v>
      </c>
      <c r="D23" s="809"/>
      <c r="E23" s="809"/>
      <c r="F23" s="809"/>
      <c r="G23" s="809"/>
      <c r="H23" s="809"/>
      <c r="I23" s="809"/>
      <c r="J23" s="5" t="s">
        <v>1449</v>
      </c>
      <c r="K23" s="5">
        <f>B23*0.2248</f>
        <v>1123859.1558964185</v>
      </c>
      <c r="L23" s="901" t="s">
        <v>1451</v>
      </c>
      <c r="M23" s="809"/>
      <c r="N23" s="809"/>
      <c r="O23" s="809"/>
      <c r="P23" s="809"/>
      <c r="Q23" s="809"/>
      <c r="R23" s="809"/>
      <c r="S23" s="5"/>
    </row>
    <row r="24" spans="1:19" x14ac:dyDescent="0.2">
      <c r="A24" s="5"/>
      <c r="B24" s="5"/>
      <c r="C24" s="809"/>
      <c r="D24" s="809"/>
      <c r="E24" s="809"/>
      <c r="F24" s="809"/>
      <c r="G24" s="809"/>
      <c r="H24" s="809"/>
      <c r="I24" s="809"/>
      <c r="J24" s="5"/>
      <c r="K24" s="5"/>
      <c r="L24" s="809"/>
      <c r="M24" s="809"/>
      <c r="N24" s="809"/>
      <c r="O24" s="809"/>
      <c r="P24" s="809"/>
      <c r="Q24" s="809"/>
      <c r="R24" s="809"/>
      <c r="S24" s="5"/>
    </row>
    <row r="25" spans="1:19" x14ac:dyDescent="0.2">
      <c r="A25" s="5"/>
      <c r="B25" s="5"/>
      <c r="C25" s="5" t="s">
        <v>1452</v>
      </c>
      <c r="D25" s="5"/>
      <c r="E25" s="5"/>
      <c r="F25" s="5"/>
      <c r="G25" s="5"/>
      <c r="H25" s="5"/>
      <c r="I25" s="5"/>
      <c r="J25" s="5"/>
      <c r="K25" s="5"/>
      <c r="L25" s="5" t="s">
        <v>1452</v>
      </c>
      <c r="M25" s="5"/>
      <c r="N25" s="5"/>
      <c r="O25" s="5"/>
      <c r="P25" s="5"/>
      <c r="Q25" s="5"/>
      <c r="R25" s="5"/>
      <c r="S25" s="5"/>
    </row>
    <row r="26" spans="1:19" x14ac:dyDescent="0.2">
      <c r="A26" s="5" t="s">
        <v>1453</v>
      </c>
      <c r="B26" s="5">
        <f>B23-B13*9.8</f>
        <v>4261119.2987352908</v>
      </c>
      <c r="C26" s="5" t="s">
        <v>1454</v>
      </c>
      <c r="D26" s="5"/>
      <c r="E26" s="5"/>
      <c r="F26" s="5"/>
      <c r="G26" s="5"/>
      <c r="H26" s="5"/>
      <c r="I26" s="5"/>
      <c r="J26" s="5" t="s">
        <v>1453</v>
      </c>
      <c r="K26" s="5">
        <f>B26*0.2248</f>
        <v>957899.61835569341</v>
      </c>
      <c r="L26" s="64" t="s">
        <v>1455</v>
      </c>
      <c r="M26" s="5"/>
      <c r="N26" s="5"/>
      <c r="O26" s="5"/>
      <c r="P26" s="5"/>
      <c r="Q26" s="5"/>
      <c r="R26" s="5"/>
      <c r="S26" s="5"/>
    </row>
    <row r="27" spans="1:19" x14ac:dyDescent="0.2">
      <c r="A27" s="5"/>
      <c r="B27" s="5"/>
      <c r="C27" s="5" t="s">
        <v>1456</v>
      </c>
      <c r="D27" s="5"/>
      <c r="E27" s="5"/>
      <c r="F27" s="5"/>
      <c r="G27" s="5"/>
      <c r="H27" s="5"/>
      <c r="I27" s="5"/>
      <c r="J27" s="5"/>
      <c r="K27" s="5"/>
      <c r="L27" s="5" t="s">
        <v>1456</v>
      </c>
      <c r="M27" s="5"/>
      <c r="N27" s="5"/>
      <c r="O27" s="5"/>
      <c r="P27" s="5"/>
      <c r="Q27" s="5"/>
      <c r="R27" s="5"/>
      <c r="S27" s="5"/>
    </row>
    <row r="28" spans="1:19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2">
      <c r="A29" s="5" t="s">
        <v>1457</v>
      </c>
      <c r="B29" s="5">
        <f>B26/(B17*B11)</f>
        <v>36.988882801521619</v>
      </c>
      <c r="C29" s="64" t="s">
        <v>1458</v>
      </c>
      <c r="D29" s="5"/>
      <c r="E29" s="5"/>
      <c r="F29" s="5"/>
      <c r="G29" s="5"/>
      <c r="H29" s="5"/>
      <c r="I29" s="5"/>
      <c r="J29" s="5" t="s">
        <v>1457</v>
      </c>
      <c r="K29" s="5">
        <f>B29*145.04</f>
        <v>5364.8675615326956</v>
      </c>
      <c r="L29" s="64" t="s">
        <v>1459</v>
      </c>
      <c r="M29" s="5"/>
      <c r="N29" s="5"/>
      <c r="O29" s="5"/>
      <c r="P29" s="5"/>
      <c r="Q29" s="5"/>
      <c r="R29" s="5"/>
      <c r="S29" s="5"/>
    </row>
    <row r="30" spans="1:19" x14ac:dyDescent="0.2">
      <c r="A30" s="5"/>
      <c r="B30" s="5"/>
      <c r="C30" s="5"/>
      <c r="D30" s="5" t="s">
        <v>1460</v>
      </c>
      <c r="E30" s="5"/>
      <c r="F30" s="5"/>
      <c r="G30" s="5"/>
      <c r="H30" s="5"/>
      <c r="I30" s="5"/>
      <c r="J30" s="5"/>
      <c r="K30" s="5"/>
      <c r="L30" s="5"/>
      <c r="M30" s="5" t="s">
        <v>1460</v>
      </c>
      <c r="N30" s="5"/>
      <c r="O30" s="5"/>
      <c r="P30" s="5"/>
      <c r="Q30" s="5"/>
      <c r="R30" s="5"/>
      <c r="S30" s="5"/>
    </row>
    <row r="31" spans="1:19" x14ac:dyDescent="0.2">
      <c r="A31" s="5"/>
      <c r="B31" s="563">
        <f>B16/$B$29</f>
        <v>4.1939525518449052</v>
      </c>
      <c r="C31" s="563" t="str">
        <f>IF(B31&gt;1,"OK","ERROR")</f>
        <v>OK</v>
      </c>
      <c r="D31" s="64" t="s">
        <v>1461</v>
      </c>
      <c r="E31" s="5"/>
      <c r="F31" s="5"/>
      <c r="G31" s="5"/>
      <c r="H31" s="5"/>
      <c r="I31" s="5"/>
      <c r="J31" s="5"/>
      <c r="K31" s="570">
        <f>K16/$K$29</f>
        <v>4.1939525518449043</v>
      </c>
      <c r="L31" s="563" t="str">
        <f>IF(K31&gt;1,"OK","ERROR")</f>
        <v>OK</v>
      </c>
      <c r="M31" s="64" t="s">
        <v>1461</v>
      </c>
      <c r="N31" s="5"/>
      <c r="O31" s="5"/>
      <c r="P31" s="5"/>
      <c r="Q31" s="5"/>
      <c r="R31" s="5"/>
      <c r="S31" s="5"/>
    </row>
    <row r="32" spans="1:19" x14ac:dyDescent="0.2">
      <c r="A32" s="571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"/>
    </row>
    <row r="33" spans="1:19" ht="18" customHeight="1" x14ac:dyDescent="0.25">
      <c r="A33" s="1019" t="s">
        <v>1462</v>
      </c>
      <c r="B33" s="809"/>
      <c r="C33" s="809"/>
      <c r="D33" s="809"/>
      <c r="E33" s="809"/>
      <c r="F33" s="809"/>
      <c r="G33" s="809"/>
      <c r="H33" s="809"/>
      <c r="I33" s="809"/>
      <c r="J33" s="1019" t="s">
        <v>1463</v>
      </c>
      <c r="K33" s="809"/>
      <c r="L33" s="809"/>
      <c r="M33" s="809"/>
      <c r="N33" s="809"/>
      <c r="O33" s="809"/>
      <c r="P33" s="809"/>
      <c r="Q33" s="809"/>
      <c r="R33" s="809"/>
      <c r="S33" s="5"/>
    </row>
    <row r="34" spans="1:19" x14ac:dyDescent="0.2">
      <c r="A34" s="572"/>
      <c r="B34" s="1007"/>
      <c r="C34" s="809"/>
      <c r="D34" s="1007"/>
      <c r="E34" s="809"/>
      <c r="F34" s="571"/>
      <c r="G34" s="571"/>
      <c r="H34" s="571"/>
      <c r="I34" s="571"/>
      <c r="J34" s="572"/>
      <c r="K34" s="1007"/>
      <c r="L34" s="809"/>
      <c r="M34" s="1007"/>
      <c r="N34" s="809"/>
      <c r="O34" s="571"/>
      <c r="P34" s="571"/>
      <c r="Q34" s="571"/>
      <c r="R34" s="571"/>
      <c r="S34" s="5"/>
    </row>
    <row r="35" spans="1:19" x14ac:dyDescent="0.2">
      <c r="A35" s="1005" t="s">
        <v>1464</v>
      </c>
      <c r="B35" s="809"/>
      <c r="C35" s="809"/>
      <c r="D35" s="809"/>
      <c r="E35" s="1020">
        <v>10</v>
      </c>
      <c r="F35" s="809"/>
      <c r="G35" s="571" t="s">
        <v>247</v>
      </c>
      <c r="H35" s="571"/>
      <c r="I35" s="571"/>
      <c r="J35" s="1005" t="s">
        <v>1464</v>
      </c>
      <c r="K35" s="809"/>
      <c r="L35" s="809"/>
      <c r="M35" s="809"/>
      <c r="N35" s="1021">
        <f>E35/25.4</f>
        <v>0.39370078740157483</v>
      </c>
      <c r="O35" s="809"/>
      <c r="P35" s="571" t="s">
        <v>248</v>
      </c>
      <c r="Q35" s="571"/>
      <c r="R35" s="571"/>
      <c r="S35" s="5"/>
    </row>
    <row r="36" spans="1:19" x14ac:dyDescent="0.2">
      <c r="A36" s="1005" t="s">
        <v>1465</v>
      </c>
      <c r="B36" s="809"/>
      <c r="C36" s="809"/>
      <c r="D36" s="809"/>
      <c r="E36" s="1007">
        <f>200*2+170</f>
        <v>570</v>
      </c>
      <c r="F36" s="809"/>
      <c r="G36" s="571" t="s">
        <v>247</v>
      </c>
      <c r="H36" s="571"/>
      <c r="I36" s="571"/>
      <c r="J36" s="1005" t="s">
        <v>1465</v>
      </c>
      <c r="K36" s="809"/>
      <c r="L36" s="809"/>
      <c r="M36" s="809"/>
      <c r="N36" s="1006">
        <f>E36/25.4</f>
        <v>22.440944881889767</v>
      </c>
      <c r="O36" s="809"/>
      <c r="P36" s="571" t="s">
        <v>248</v>
      </c>
      <c r="Q36" s="571"/>
      <c r="R36" s="571"/>
      <c r="S36" s="5"/>
    </row>
    <row r="37" spans="1:19" x14ac:dyDescent="0.2">
      <c r="A37" s="1005" t="s">
        <v>1466</v>
      </c>
      <c r="B37" s="809"/>
      <c r="C37" s="809"/>
      <c r="D37" s="809"/>
      <c r="E37" s="1007">
        <v>0.7</v>
      </c>
      <c r="F37" s="809"/>
      <c r="G37" s="571"/>
      <c r="H37" s="571"/>
      <c r="I37" s="571"/>
      <c r="J37" s="1005" t="s">
        <v>1466</v>
      </c>
      <c r="K37" s="809"/>
      <c r="L37" s="809"/>
      <c r="M37" s="809"/>
      <c r="N37" s="1007">
        <v>0.7</v>
      </c>
      <c r="O37" s="809"/>
      <c r="P37" s="571"/>
      <c r="Q37" s="571"/>
      <c r="R37" s="571"/>
      <c r="S37" s="5"/>
    </row>
    <row r="38" spans="1:19" x14ac:dyDescent="0.2">
      <c r="A38" s="1005" t="s">
        <v>1467</v>
      </c>
      <c r="B38" s="809"/>
      <c r="C38" s="809"/>
      <c r="D38" s="809"/>
      <c r="E38" s="1006">
        <f>$B$11*$B$29/(E35*E36/SQRT(2))/E37</f>
        <v>25.171815802678282</v>
      </c>
      <c r="F38" s="809"/>
      <c r="G38" s="571" t="s">
        <v>941</v>
      </c>
      <c r="H38" s="571"/>
      <c r="I38" s="571"/>
      <c r="J38" s="1005" t="s">
        <v>1467</v>
      </c>
      <c r="K38" s="809"/>
      <c r="L38" s="809"/>
      <c r="M38" s="809"/>
      <c r="N38" s="1006">
        <f>E38*145.04</f>
        <v>3650.9201640204578</v>
      </c>
      <c r="O38" s="809"/>
      <c r="P38" s="571" t="s">
        <v>926</v>
      </c>
      <c r="Q38" s="571"/>
      <c r="R38" s="571"/>
      <c r="S38" s="5"/>
    </row>
    <row r="39" spans="1:19" ht="12.75" customHeight="1" x14ac:dyDescent="0.2">
      <c r="A39" s="1005" t="s">
        <v>1468</v>
      </c>
      <c r="B39" s="809"/>
      <c r="C39" s="809"/>
      <c r="D39" s="809"/>
      <c r="E39" s="1006">
        <f>B16/E38</f>
        <v>6.1628299138764522</v>
      </c>
      <c r="F39" s="809"/>
      <c r="G39" s="571"/>
      <c r="H39" s="571"/>
      <c r="I39" s="571"/>
      <c r="J39" s="1005" t="s">
        <v>1468</v>
      </c>
      <c r="K39" s="809"/>
      <c r="L39" s="809"/>
      <c r="M39" s="809"/>
      <c r="N39" s="1006">
        <f>K16/N38</f>
        <v>6.1628299138764522</v>
      </c>
      <c r="O39" s="809"/>
      <c r="P39" s="571"/>
      <c r="Q39" s="571"/>
      <c r="R39" s="571"/>
      <c r="S39" s="5"/>
    </row>
    <row r="40" spans="1:19" x14ac:dyDescent="0.2">
      <c r="A40" s="572"/>
      <c r="B40" s="1007"/>
      <c r="C40" s="809"/>
      <c r="D40" s="571"/>
      <c r="E40" s="1008" t="str">
        <f>IF(E39&gt;1,"OK","ERROR")</f>
        <v>OK</v>
      </c>
      <c r="F40" s="809"/>
      <c r="G40" s="571"/>
      <c r="H40" s="571"/>
      <c r="I40" s="571"/>
      <c r="J40" s="572"/>
      <c r="K40" s="1007"/>
      <c r="L40" s="809"/>
      <c r="M40" s="571"/>
      <c r="N40" s="1008" t="str">
        <f>IF(N39&gt;1,"OK","ERROR")</f>
        <v>OK</v>
      </c>
      <c r="O40" s="809"/>
      <c r="P40" s="571"/>
      <c r="Q40" s="571"/>
      <c r="R40" s="571"/>
      <c r="S40" s="5"/>
    </row>
    <row r="41" spans="1:19" x14ac:dyDescent="0.2">
      <c r="A41" s="571"/>
      <c r="B41" s="571"/>
      <c r="C41" s="571"/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"/>
    </row>
    <row r="42" spans="1:19" ht="18" customHeight="1" x14ac:dyDescent="0.25">
      <c r="A42" s="1019" t="s">
        <v>1469</v>
      </c>
      <c r="B42" s="809"/>
      <c r="C42" s="809"/>
      <c r="D42" s="809"/>
      <c r="E42" s="809"/>
      <c r="F42" s="809"/>
      <c r="G42" s="809"/>
      <c r="H42" s="809"/>
      <c r="I42" s="809"/>
      <c r="J42" s="1019" t="s">
        <v>1470</v>
      </c>
      <c r="K42" s="809"/>
      <c r="L42" s="809"/>
      <c r="M42" s="809"/>
      <c r="N42" s="809"/>
      <c r="O42" s="809"/>
      <c r="P42" s="809"/>
      <c r="Q42" s="809"/>
      <c r="R42" s="809"/>
      <c r="S42" s="5"/>
    </row>
    <row r="43" spans="1:19" x14ac:dyDescent="0.2">
      <c r="A43" s="571"/>
      <c r="B43" s="571"/>
      <c r="C43" s="571"/>
      <c r="D43" s="571"/>
      <c r="E43" s="571"/>
      <c r="F43" s="571"/>
      <c r="G43" s="571"/>
      <c r="H43" s="571"/>
      <c r="I43" s="571"/>
      <c r="J43" s="571"/>
      <c r="K43" s="571"/>
      <c r="L43" s="571"/>
      <c r="M43" s="571"/>
      <c r="N43" s="571"/>
      <c r="O43" s="571"/>
      <c r="P43" s="571"/>
      <c r="Q43" s="571"/>
      <c r="R43" s="571"/>
      <c r="S43" s="5"/>
    </row>
    <row r="44" spans="1:19" x14ac:dyDescent="0.2">
      <c r="A44" s="1005" t="s">
        <v>1464</v>
      </c>
      <c r="B44" s="809"/>
      <c r="C44" s="809"/>
      <c r="D44" s="809"/>
      <c r="E44" s="1020">
        <v>10</v>
      </c>
      <c r="F44" s="809"/>
      <c r="G44" s="571" t="s">
        <v>247</v>
      </c>
      <c r="H44" s="571"/>
      <c r="I44" s="571"/>
      <c r="J44" s="1005" t="s">
        <v>1464</v>
      </c>
      <c r="K44" s="809"/>
      <c r="L44" s="809"/>
      <c r="M44" s="809"/>
      <c r="N44" s="1021">
        <f>E44/25.4</f>
        <v>0.39370078740157483</v>
      </c>
      <c r="O44" s="809"/>
      <c r="P44" s="571" t="s">
        <v>248</v>
      </c>
      <c r="Q44" s="571"/>
      <c r="R44" s="571"/>
      <c r="S44" s="5"/>
    </row>
    <row r="45" spans="1:19" x14ac:dyDescent="0.2">
      <c r="A45" s="1005" t="s">
        <v>1465</v>
      </c>
      <c r="B45" s="809"/>
      <c r="C45" s="809"/>
      <c r="D45" s="809"/>
      <c r="E45" s="1007">
        <v>1000</v>
      </c>
      <c r="F45" s="809"/>
      <c r="G45" s="571" t="s">
        <v>247</v>
      </c>
      <c r="H45" s="571"/>
      <c r="I45" s="571"/>
      <c r="J45" s="1005" t="s">
        <v>1465</v>
      </c>
      <c r="K45" s="809"/>
      <c r="L45" s="809"/>
      <c r="M45" s="809"/>
      <c r="N45" s="1006">
        <f>E45/25.4</f>
        <v>39.370078740157481</v>
      </c>
      <c r="O45" s="809"/>
      <c r="P45" s="571" t="s">
        <v>248</v>
      </c>
      <c r="Q45" s="571"/>
      <c r="R45" s="571"/>
      <c r="S45" s="5"/>
    </row>
    <row r="46" spans="1:19" x14ac:dyDescent="0.2">
      <c r="A46" s="1005" t="s">
        <v>1466</v>
      </c>
      <c r="B46" s="809"/>
      <c r="C46" s="809"/>
      <c r="D46" s="809"/>
      <c r="E46" s="1007">
        <v>0.7</v>
      </c>
      <c r="F46" s="809"/>
      <c r="G46" s="571"/>
      <c r="H46" s="571"/>
      <c r="I46" s="571"/>
      <c r="J46" s="1005" t="s">
        <v>1466</v>
      </c>
      <c r="K46" s="809"/>
      <c r="L46" s="809"/>
      <c r="M46" s="809"/>
      <c r="N46" s="1007">
        <v>0.7</v>
      </c>
      <c r="O46" s="809"/>
      <c r="P46" s="571"/>
      <c r="Q46" s="571"/>
      <c r="R46" s="571"/>
      <c r="S46" s="5"/>
    </row>
    <row r="47" spans="1:19" x14ac:dyDescent="0.2">
      <c r="A47" s="1005" t="s">
        <v>1467</v>
      </c>
      <c r="B47" s="809"/>
      <c r="C47" s="809"/>
      <c r="D47" s="809"/>
      <c r="E47" s="1006">
        <f>$B$11*$B$29/(E44*E45/SQRT(2))/E46</f>
        <v>14.347935007526619</v>
      </c>
      <c r="F47" s="809"/>
      <c r="G47" s="571" t="s">
        <v>941</v>
      </c>
      <c r="H47" s="571"/>
      <c r="I47" s="571"/>
      <c r="J47" s="1005" t="s">
        <v>1467</v>
      </c>
      <c r="K47" s="809"/>
      <c r="L47" s="809"/>
      <c r="M47" s="809"/>
      <c r="N47" s="1006">
        <f>E47*145.04</f>
        <v>2081.0244934916609</v>
      </c>
      <c r="O47" s="809"/>
      <c r="P47" s="571" t="s">
        <v>926</v>
      </c>
      <c r="Q47" s="571"/>
      <c r="R47" s="571"/>
      <c r="S47" s="5"/>
    </row>
    <row r="48" spans="1:19" x14ac:dyDescent="0.2">
      <c r="A48" s="1005" t="s">
        <v>1468</v>
      </c>
      <c r="B48" s="809"/>
      <c r="C48" s="809"/>
      <c r="D48" s="809"/>
      <c r="E48" s="1006">
        <f>B16/E47</f>
        <v>10.811982305046408</v>
      </c>
      <c r="F48" s="809"/>
      <c r="G48" s="571"/>
      <c r="H48" s="571"/>
      <c r="I48" s="571"/>
      <c r="J48" s="1005" t="s">
        <v>1468</v>
      </c>
      <c r="K48" s="809"/>
      <c r="L48" s="809"/>
      <c r="M48" s="809"/>
      <c r="N48" s="1006">
        <f>K16/N47</f>
        <v>10.811982305046408</v>
      </c>
      <c r="O48" s="809"/>
      <c r="P48" s="571"/>
      <c r="Q48" s="571"/>
      <c r="R48" s="571"/>
      <c r="S48" s="5"/>
    </row>
    <row r="49" spans="1:19" ht="18" customHeight="1" x14ac:dyDescent="0.25">
      <c r="A49" s="574"/>
      <c r="B49" s="1007"/>
      <c r="C49" s="809"/>
      <c r="D49" s="571"/>
      <c r="E49" s="1008" t="str">
        <f>IF(E48&gt;1,"OK","ERROR")</f>
        <v>OK</v>
      </c>
      <c r="F49" s="809"/>
      <c r="G49" s="571"/>
      <c r="H49" s="571"/>
      <c r="I49" s="571"/>
      <c r="J49" s="574"/>
      <c r="K49" s="1007"/>
      <c r="L49" s="809"/>
      <c r="M49" s="571"/>
      <c r="N49" s="1008" t="str">
        <f>IF(N48&gt;1,"OK","ERROR")</f>
        <v>OK</v>
      </c>
      <c r="O49" s="809"/>
      <c r="P49" s="571"/>
      <c r="Q49" s="571"/>
      <c r="R49" s="571"/>
      <c r="S49" s="5"/>
    </row>
    <row r="50" spans="1:19" ht="18" customHeight="1" x14ac:dyDescent="0.25">
      <c r="A50" s="574"/>
      <c r="B50" s="572"/>
      <c r="C50" s="572"/>
      <c r="D50" s="571"/>
      <c r="E50" s="572"/>
      <c r="F50" s="572"/>
      <c r="G50" s="571"/>
      <c r="H50" s="571"/>
      <c r="I50" s="571"/>
      <c r="J50" s="574"/>
      <c r="K50" s="572"/>
      <c r="L50" s="572"/>
      <c r="M50" s="571"/>
      <c r="N50" s="572"/>
      <c r="O50" s="572"/>
      <c r="P50" s="571"/>
      <c r="Q50" s="571"/>
      <c r="R50" s="571"/>
      <c r="S50" s="5"/>
    </row>
    <row r="51" spans="1:19" ht="18" customHeight="1" x14ac:dyDescent="0.25">
      <c r="A51" s="574"/>
      <c r="B51" s="572"/>
      <c r="C51" s="572"/>
      <c r="D51" s="571"/>
      <c r="E51" s="572"/>
      <c r="F51" s="572"/>
      <c r="G51" s="571"/>
      <c r="H51" s="571"/>
      <c r="I51" s="571"/>
      <c r="J51" s="575" t="s">
        <v>1471</v>
      </c>
      <c r="K51" s="572"/>
      <c r="L51" s="572"/>
      <c r="M51" s="571"/>
      <c r="N51" s="572"/>
      <c r="O51" s="572"/>
      <c r="P51" s="571"/>
      <c r="Q51" s="571"/>
      <c r="R51" s="571"/>
      <c r="S51" s="5"/>
    </row>
    <row r="52" spans="1:19" ht="13.5" customHeight="1" thickBot="1" x14ac:dyDescent="0.25">
      <c r="A52" s="571"/>
      <c r="B52" s="571"/>
      <c r="C52" s="576"/>
      <c r="D52" s="576"/>
      <c r="E52" s="576"/>
      <c r="F52" s="576"/>
      <c r="G52" s="576"/>
      <c r="H52" s="576"/>
      <c r="I52" s="576"/>
      <c r="J52" s="571"/>
      <c r="K52" s="571"/>
      <c r="L52" s="576"/>
      <c r="M52" s="576"/>
      <c r="N52" s="576"/>
      <c r="O52" s="576"/>
      <c r="P52" s="576"/>
      <c r="Q52" s="576"/>
      <c r="R52" s="576"/>
      <c r="S52" s="5"/>
    </row>
    <row r="53" spans="1:19" ht="17.25" customHeight="1" thickTop="1" thickBot="1" x14ac:dyDescent="0.3">
      <c r="A53" s="1009"/>
      <c r="B53" s="823"/>
      <c r="C53" s="824"/>
      <c r="D53" s="1010" t="str">
        <f>'Front Page'!$A$13</f>
        <v>Mechanical  Calculations</v>
      </c>
      <c r="E53" s="842"/>
      <c r="F53" s="842"/>
      <c r="G53" s="842"/>
      <c r="H53" s="842"/>
      <c r="I53" s="843"/>
      <c r="J53" s="1009"/>
      <c r="K53" s="823"/>
      <c r="L53" s="824"/>
      <c r="M53" s="1010" t="str">
        <f>'Front Page'!$A$13</f>
        <v>Mechanical  Calculations</v>
      </c>
      <c r="N53" s="842"/>
      <c r="O53" s="842"/>
      <c r="P53" s="842"/>
      <c r="Q53" s="842"/>
      <c r="R53" s="843"/>
      <c r="S53" s="5"/>
    </row>
    <row r="54" spans="1:19" ht="16.5" customHeight="1" thickBot="1" x14ac:dyDescent="0.3">
      <c r="A54" s="825"/>
      <c r="B54" s="809"/>
      <c r="C54" s="826"/>
      <c r="D54" s="1011"/>
      <c r="E54" s="831"/>
      <c r="F54" s="831"/>
      <c r="G54" s="831"/>
      <c r="H54" s="831"/>
      <c r="I54" s="832"/>
      <c r="J54" s="825"/>
      <c r="K54" s="809"/>
      <c r="L54" s="826"/>
      <c r="M54" s="1011"/>
      <c r="N54" s="831"/>
      <c r="O54" s="831"/>
      <c r="P54" s="831"/>
      <c r="Q54" s="831"/>
      <c r="R54" s="832"/>
      <c r="S54" s="5"/>
    </row>
    <row r="55" spans="1:19" ht="16.5" customHeight="1" thickBot="1" x14ac:dyDescent="0.3">
      <c r="A55" s="827"/>
      <c r="B55" s="828"/>
      <c r="C55" s="829"/>
      <c r="D55" s="1011" t="s">
        <v>1424</v>
      </c>
      <c r="E55" s="831"/>
      <c r="F55" s="831"/>
      <c r="G55" s="831"/>
      <c r="H55" s="831"/>
      <c r="I55" s="832"/>
      <c r="J55" s="827"/>
      <c r="K55" s="828"/>
      <c r="L55" s="829"/>
      <c r="M55" s="1011" t="s">
        <v>1424</v>
      </c>
      <c r="N55" s="831"/>
      <c r="O55" s="831"/>
      <c r="P55" s="831"/>
      <c r="Q55" s="831"/>
      <c r="R55" s="832"/>
      <c r="S55" s="5"/>
    </row>
    <row r="56" spans="1:19" ht="16.5" customHeight="1" thickTop="1" thickBot="1" x14ac:dyDescent="0.3">
      <c r="A56" s="1012"/>
      <c r="B56" s="831"/>
      <c r="C56" s="832"/>
      <c r="D56" s="1013" t="str">
        <f>'Front Page'!$D$4</f>
        <v>Doc Nº</v>
      </c>
      <c r="E56" s="832"/>
      <c r="F56" s="1014"/>
      <c r="G56" s="843"/>
      <c r="H56" s="577"/>
      <c r="I56" s="578"/>
      <c r="J56" s="1012"/>
      <c r="K56" s="831"/>
      <c r="L56" s="832"/>
      <c r="M56" s="1013" t="str">
        <f>'Front Page'!$D$4</f>
        <v>Doc Nº</v>
      </c>
      <c r="N56" s="832"/>
      <c r="O56" s="1014"/>
      <c r="P56" s="843"/>
      <c r="Q56" s="577"/>
      <c r="R56" s="578"/>
      <c r="S56" s="5"/>
    </row>
    <row r="57" spans="1:19" ht="15.75" customHeight="1" thickBot="1" x14ac:dyDescent="0.3">
      <c r="A57" s="1015"/>
      <c r="B57" s="834"/>
      <c r="C57" s="835"/>
      <c r="D57" s="1016" t="str">
        <f>'Front Page'!$D$5</f>
        <v>Project</v>
      </c>
      <c r="E57" s="835"/>
      <c r="F57" s="1017"/>
      <c r="G57" s="835"/>
      <c r="H57" s="579" t="s">
        <v>5</v>
      </c>
      <c r="I57" s="580"/>
      <c r="J57" s="1015"/>
      <c r="K57" s="834"/>
      <c r="L57" s="835"/>
      <c r="M57" s="1016" t="str">
        <f>'Front Page'!$D$5</f>
        <v>Project</v>
      </c>
      <c r="N57" s="835"/>
      <c r="O57" s="1017"/>
      <c r="P57" s="835"/>
      <c r="Q57" s="579" t="s">
        <v>5</v>
      </c>
      <c r="R57" s="427"/>
      <c r="S57" s="5"/>
    </row>
    <row r="58" spans="1:19" ht="13.5" customHeight="1" thickTop="1" x14ac:dyDescent="0.2">
      <c r="A58" s="571"/>
      <c r="B58" s="571"/>
      <c r="C58" s="576"/>
      <c r="D58" s="576"/>
      <c r="E58" s="576"/>
      <c r="F58" s="576"/>
      <c r="G58" s="576"/>
      <c r="H58" s="576"/>
      <c r="I58" s="576"/>
      <c r="J58" s="571"/>
      <c r="K58" s="571"/>
      <c r="L58" s="576"/>
      <c r="M58" s="576"/>
      <c r="N58" s="576"/>
      <c r="O58" s="576"/>
      <c r="P58" s="576"/>
      <c r="Q58" s="576"/>
      <c r="R58" s="576"/>
      <c r="S58" s="5"/>
    </row>
    <row r="59" spans="1:19" x14ac:dyDescent="0.2">
      <c r="A59" s="571"/>
      <c r="B59" s="571"/>
      <c r="C59" s="571"/>
      <c r="D59" s="571"/>
      <c r="E59" s="571"/>
      <c r="F59" s="571"/>
      <c r="G59" s="571"/>
      <c r="H59" s="571"/>
      <c r="I59" s="571"/>
      <c r="J59" s="571"/>
      <c r="K59" s="571"/>
      <c r="L59" s="571"/>
      <c r="M59" s="571"/>
      <c r="N59" s="571"/>
      <c r="O59" s="571"/>
      <c r="P59" s="571"/>
      <c r="Q59" s="571"/>
      <c r="R59" s="571"/>
      <c r="S59" s="5"/>
    </row>
    <row r="60" spans="1:19" ht="15.75" customHeight="1" x14ac:dyDescent="0.25">
      <c r="A60" s="581" t="s">
        <v>1472</v>
      </c>
      <c r="B60" s="571"/>
      <c r="C60" s="571"/>
      <c r="D60" s="571"/>
      <c r="E60" s="571"/>
      <c r="F60" s="571"/>
      <c r="G60" s="571"/>
      <c r="H60" s="571"/>
      <c r="I60" s="571"/>
      <c r="J60" s="581" t="s">
        <v>1472</v>
      </c>
      <c r="K60" s="571"/>
      <c r="L60" s="571"/>
      <c r="M60" s="571"/>
      <c r="N60" s="571"/>
      <c r="O60" s="571"/>
      <c r="P60" s="571"/>
      <c r="Q60" s="571"/>
      <c r="R60" s="571"/>
      <c r="S60" s="5"/>
    </row>
    <row r="61" spans="1:19" x14ac:dyDescent="0.2">
      <c r="A61" s="571"/>
      <c r="B61" s="571"/>
      <c r="C61" s="571"/>
      <c r="D61" s="571"/>
      <c r="E61" s="571"/>
      <c r="F61" s="571"/>
      <c r="G61" s="571"/>
      <c r="H61" s="571"/>
      <c r="I61" s="571"/>
      <c r="J61" s="571"/>
      <c r="K61" s="571"/>
      <c r="L61" s="571"/>
      <c r="M61" s="571"/>
      <c r="N61" s="571"/>
      <c r="O61" s="571"/>
      <c r="P61" s="571"/>
      <c r="Q61" s="571"/>
      <c r="R61" s="571"/>
      <c r="S61" s="5"/>
    </row>
    <row r="62" spans="1:19" x14ac:dyDescent="0.2">
      <c r="A62" s="571" t="s">
        <v>1449</v>
      </c>
      <c r="B62" s="571">
        <f>B12*B15*100000</f>
        <v>6249216.8366126474</v>
      </c>
      <c r="C62" s="1018" t="s">
        <v>1450</v>
      </c>
      <c r="D62" s="809"/>
      <c r="E62" s="809"/>
      <c r="F62" s="809"/>
      <c r="G62" s="809"/>
      <c r="H62" s="809"/>
      <c r="I62" s="809"/>
      <c r="J62" s="571" t="s">
        <v>1449</v>
      </c>
      <c r="K62" s="5">
        <f>B62*0.2248</f>
        <v>1404823.9448705232</v>
      </c>
      <c r="L62" s="1018" t="s">
        <v>1451</v>
      </c>
      <c r="M62" s="809"/>
      <c r="N62" s="809"/>
      <c r="O62" s="809"/>
      <c r="P62" s="809"/>
      <c r="Q62" s="809"/>
      <c r="R62" s="809"/>
      <c r="S62" s="5"/>
    </row>
    <row r="63" spans="1:19" x14ac:dyDescent="0.2">
      <c r="A63" s="571"/>
      <c r="B63" s="571"/>
      <c r="C63" s="809"/>
      <c r="D63" s="809"/>
      <c r="E63" s="809"/>
      <c r="F63" s="809"/>
      <c r="G63" s="809"/>
      <c r="H63" s="809"/>
      <c r="I63" s="809"/>
      <c r="J63" s="571"/>
      <c r="K63" s="571"/>
      <c r="L63" s="809"/>
      <c r="M63" s="809"/>
      <c r="N63" s="809"/>
      <c r="O63" s="809"/>
      <c r="P63" s="809"/>
      <c r="Q63" s="809"/>
      <c r="R63" s="809"/>
      <c r="S63" s="5"/>
    </row>
    <row r="64" spans="1:19" x14ac:dyDescent="0.2">
      <c r="A64" s="571"/>
      <c r="B64" s="571"/>
      <c r="C64" s="571" t="s">
        <v>1473</v>
      </c>
      <c r="D64" s="571"/>
      <c r="E64" s="571"/>
      <c r="F64" s="571"/>
      <c r="G64" s="571"/>
      <c r="H64" s="571"/>
      <c r="I64" s="571"/>
      <c r="J64" s="571"/>
      <c r="K64" s="571"/>
      <c r="L64" s="571" t="s">
        <v>1473</v>
      </c>
      <c r="M64" s="571"/>
      <c r="N64" s="571"/>
      <c r="O64" s="571"/>
      <c r="P64" s="571"/>
      <c r="Q64" s="571"/>
      <c r="R64" s="571"/>
      <c r="S64" s="5"/>
    </row>
    <row r="65" spans="1:19" x14ac:dyDescent="0.2">
      <c r="A65" s="571" t="s">
        <v>1453</v>
      </c>
      <c r="B65" s="571">
        <f>B62-B13*9.8</f>
        <v>5510962.6660578204</v>
      </c>
      <c r="C65" s="571" t="s">
        <v>1454</v>
      </c>
      <c r="D65" s="571"/>
      <c r="E65" s="571"/>
      <c r="F65" s="571"/>
      <c r="G65" s="571"/>
      <c r="H65" s="571"/>
      <c r="I65" s="571"/>
      <c r="J65" s="571" t="s">
        <v>1453</v>
      </c>
      <c r="K65" s="5">
        <f>B65*0.2248</f>
        <v>1238864.407329798</v>
      </c>
      <c r="L65" s="571" t="s">
        <v>1455</v>
      </c>
      <c r="M65" s="571"/>
      <c r="N65" s="571"/>
      <c r="O65" s="571"/>
      <c r="P65" s="571"/>
      <c r="Q65" s="571"/>
      <c r="R65" s="571"/>
      <c r="S65" s="5"/>
    </row>
    <row r="66" spans="1:19" x14ac:dyDescent="0.2">
      <c r="A66" s="571"/>
      <c r="B66" s="583"/>
      <c r="C66" s="571" t="s">
        <v>1456</v>
      </c>
      <c r="D66" s="571"/>
      <c r="E66" s="583"/>
      <c r="F66" s="571"/>
      <c r="G66" s="571"/>
      <c r="H66" s="583"/>
      <c r="I66" s="571"/>
      <c r="J66" s="571"/>
      <c r="K66" s="583"/>
      <c r="L66" s="571" t="s">
        <v>1456</v>
      </c>
      <c r="M66" s="571"/>
      <c r="N66" s="583"/>
      <c r="O66" s="571"/>
      <c r="P66" s="571"/>
      <c r="Q66" s="583"/>
      <c r="R66" s="571"/>
      <c r="S66" s="5"/>
    </row>
    <row r="67" spans="1:19" x14ac:dyDescent="0.2">
      <c r="A67" s="571"/>
      <c r="B67" s="571"/>
      <c r="C67" s="571"/>
      <c r="D67" s="571"/>
      <c r="E67" s="571"/>
      <c r="F67" s="571"/>
      <c r="G67" s="571"/>
      <c r="H67" s="571"/>
      <c r="I67" s="571"/>
      <c r="J67" s="571"/>
      <c r="K67" s="571"/>
      <c r="L67" s="571"/>
      <c r="M67" s="571"/>
      <c r="N67" s="571"/>
      <c r="O67" s="571"/>
      <c r="P67" s="571"/>
      <c r="Q67" s="571"/>
      <c r="R67" s="571"/>
      <c r="S67" s="5"/>
    </row>
    <row r="68" spans="1:19" x14ac:dyDescent="0.2">
      <c r="A68" s="571"/>
      <c r="B68" s="571"/>
      <c r="C68" s="571"/>
      <c r="D68" s="571"/>
      <c r="E68" s="571"/>
      <c r="F68" s="571"/>
      <c r="G68" s="571"/>
      <c r="H68" s="571"/>
      <c r="I68" s="571"/>
      <c r="J68" s="571"/>
      <c r="K68" s="571"/>
      <c r="L68" s="571"/>
      <c r="M68" s="571"/>
      <c r="N68" s="571"/>
      <c r="O68" s="571"/>
      <c r="P68" s="571"/>
      <c r="Q68" s="571"/>
      <c r="R68" s="571"/>
      <c r="S68" s="5"/>
    </row>
    <row r="69" spans="1:19" x14ac:dyDescent="0.2">
      <c r="A69" s="571" t="s">
        <v>1457</v>
      </c>
      <c r="B69" s="571">
        <f>B65/(B11*B17)</f>
        <v>47.838217587307469</v>
      </c>
      <c r="C69" s="64" t="s">
        <v>1458</v>
      </c>
      <c r="D69" s="571"/>
      <c r="E69" s="571"/>
      <c r="F69" s="571"/>
      <c r="G69" s="571"/>
      <c r="H69" s="571"/>
      <c r="I69" s="571"/>
      <c r="J69" s="571" t="s">
        <v>1457</v>
      </c>
      <c r="K69" s="5">
        <f>B69*145.04</f>
        <v>6938.455078863075</v>
      </c>
      <c r="L69" s="64" t="s">
        <v>1459</v>
      </c>
      <c r="M69" s="571"/>
      <c r="N69" s="571"/>
      <c r="O69" s="571"/>
      <c r="P69" s="571"/>
      <c r="Q69" s="571"/>
      <c r="R69" s="571"/>
      <c r="S69" s="5"/>
    </row>
    <row r="70" spans="1:19" ht="12.75" customHeight="1" x14ac:dyDescent="0.2">
      <c r="A70" s="571"/>
      <c r="B70" s="571"/>
      <c r="C70" s="571"/>
      <c r="D70" s="571"/>
      <c r="E70" s="571"/>
      <c r="F70" s="571"/>
      <c r="G70" s="571"/>
      <c r="H70" s="571"/>
      <c r="I70" s="571"/>
      <c r="J70" s="571"/>
      <c r="K70" s="571"/>
      <c r="L70" s="571"/>
      <c r="M70" s="571"/>
      <c r="N70" s="571"/>
      <c r="O70" s="571"/>
      <c r="P70" s="571"/>
      <c r="Q70" s="571"/>
      <c r="R70" s="571"/>
      <c r="S70" s="5"/>
    </row>
    <row r="71" spans="1:19" x14ac:dyDescent="0.2">
      <c r="A71" s="571"/>
      <c r="B71" s="584">
        <f>'Allowable Stresses'!I31/B69</f>
        <v>3.8913561726804726</v>
      </c>
      <c r="C71" s="584" t="str">
        <f>IF(B71&gt;1,"OK","ERROR")</f>
        <v>OK</v>
      </c>
      <c r="D71" s="64" t="s">
        <v>1461</v>
      </c>
      <c r="E71" s="571"/>
      <c r="F71" s="571"/>
      <c r="G71" s="571"/>
      <c r="H71" s="571"/>
      <c r="I71" s="571"/>
      <c r="J71" s="571"/>
      <c r="K71" s="585">
        <f>B71</f>
        <v>3.8913561726804726</v>
      </c>
      <c r="L71" s="584" t="str">
        <f>IF(K71&gt;1,"OK","ERROR")</f>
        <v>OK</v>
      </c>
      <c r="M71" s="64" t="s">
        <v>1461</v>
      </c>
      <c r="N71" s="571"/>
      <c r="O71" s="571"/>
      <c r="P71" s="571"/>
      <c r="Q71" s="571"/>
      <c r="R71" s="571"/>
      <c r="S71" s="5"/>
    </row>
    <row r="72" spans="1:19" x14ac:dyDescent="0.2">
      <c r="A72" s="571"/>
      <c r="B72" s="571"/>
      <c r="C72" s="571"/>
      <c r="D72" s="571"/>
      <c r="E72" s="571"/>
      <c r="F72" s="571"/>
      <c r="G72" s="571"/>
      <c r="H72" s="571"/>
      <c r="I72" s="571"/>
      <c r="J72" s="571"/>
      <c r="K72" s="571"/>
      <c r="L72" s="571"/>
      <c r="M72" s="571"/>
      <c r="N72" s="571"/>
      <c r="O72" s="571"/>
      <c r="P72" s="571"/>
      <c r="Q72" s="571"/>
      <c r="R72" s="571"/>
      <c r="S72" s="5"/>
    </row>
    <row r="73" spans="1:19" x14ac:dyDescent="0.2">
      <c r="A73" s="571"/>
      <c r="B73" s="571"/>
      <c r="C73" s="571"/>
      <c r="D73" s="571"/>
      <c r="E73" s="571"/>
      <c r="F73" s="571"/>
      <c r="G73" s="571"/>
      <c r="H73" s="571"/>
      <c r="I73" s="571"/>
      <c r="J73" s="571"/>
      <c r="K73" s="571"/>
      <c r="L73" s="571"/>
      <c r="M73" s="571"/>
      <c r="N73" s="571"/>
      <c r="O73" s="571"/>
      <c r="P73" s="571"/>
      <c r="Q73" s="571"/>
      <c r="R73" s="571"/>
      <c r="S73" s="5"/>
    </row>
    <row r="74" spans="1:19" ht="18" customHeight="1" x14ac:dyDescent="0.25">
      <c r="A74" s="1019" t="s">
        <v>1462</v>
      </c>
      <c r="B74" s="809"/>
      <c r="C74" s="809"/>
      <c r="D74" s="809"/>
      <c r="E74" s="809"/>
      <c r="F74" s="809"/>
      <c r="G74" s="809"/>
      <c r="H74" s="809"/>
      <c r="I74" s="809"/>
      <c r="J74" s="1019" t="s">
        <v>1463</v>
      </c>
      <c r="K74" s="809"/>
      <c r="L74" s="809"/>
      <c r="M74" s="809"/>
      <c r="N74" s="809"/>
      <c r="O74" s="809"/>
      <c r="P74" s="809"/>
      <c r="Q74" s="809"/>
      <c r="R74" s="809"/>
      <c r="S74" s="5"/>
    </row>
    <row r="75" spans="1:19" ht="18" customHeight="1" x14ac:dyDescent="0.2">
      <c r="A75" s="572"/>
      <c r="B75" s="1007"/>
      <c r="C75" s="809"/>
      <c r="D75" s="1007"/>
      <c r="E75" s="809"/>
      <c r="F75" s="571"/>
      <c r="G75" s="571"/>
      <c r="H75" s="571"/>
      <c r="I75" s="571"/>
      <c r="J75" s="572"/>
      <c r="K75" s="1007"/>
      <c r="L75" s="809"/>
      <c r="M75" s="1007"/>
      <c r="N75" s="809"/>
      <c r="O75" s="571"/>
      <c r="P75" s="571"/>
      <c r="Q75" s="571"/>
      <c r="R75" s="571"/>
      <c r="S75" s="5"/>
    </row>
    <row r="76" spans="1:19" x14ac:dyDescent="0.2">
      <c r="A76" s="1005" t="s">
        <v>1464</v>
      </c>
      <c r="B76" s="809"/>
      <c r="C76" s="809"/>
      <c r="D76" s="809"/>
      <c r="E76" s="1020">
        <f>E35</f>
        <v>10</v>
      </c>
      <c r="F76" s="809"/>
      <c r="G76" s="571" t="s">
        <v>247</v>
      </c>
      <c r="H76" s="571"/>
      <c r="I76" s="571"/>
      <c r="J76" s="1005" t="s">
        <v>1464</v>
      </c>
      <c r="K76" s="809"/>
      <c r="L76" s="809"/>
      <c r="M76" s="809"/>
      <c r="N76" s="1021">
        <f>E76/25.4</f>
        <v>0.39370078740157483</v>
      </c>
      <c r="O76" s="809"/>
      <c r="P76" s="571" t="s">
        <v>248</v>
      </c>
      <c r="Q76" s="571"/>
      <c r="R76" s="571"/>
      <c r="S76" s="5"/>
    </row>
    <row r="77" spans="1:19" x14ac:dyDescent="0.2">
      <c r="A77" s="1005" t="s">
        <v>1465</v>
      </c>
      <c r="B77" s="809"/>
      <c r="C77" s="809"/>
      <c r="D77" s="809"/>
      <c r="E77" s="1007">
        <f>E36</f>
        <v>570</v>
      </c>
      <c r="F77" s="809"/>
      <c r="G77" s="571" t="s">
        <v>247</v>
      </c>
      <c r="H77" s="571"/>
      <c r="I77" s="571"/>
      <c r="J77" s="1005" t="s">
        <v>1465</v>
      </c>
      <c r="K77" s="809"/>
      <c r="L77" s="809"/>
      <c r="M77" s="809"/>
      <c r="N77" s="1006">
        <f>E77/25.4</f>
        <v>22.440944881889767</v>
      </c>
      <c r="O77" s="809"/>
      <c r="P77" s="571" t="s">
        <v>248</v>
      </c>
      <c r="Q77" s="571"/>
      <c r="R77" s="571"/>
      <c r="S77" s="5"/>
    </row>
    <row r="78" spans="1:19" x14ac:dyDescent="0.2">
      <c r="A78" s="1005" t="s">
        <v>1466</v>
      </c>
      <c r="B78" s="809"/>
      <c r="C78" s="809"/>
      <c r="D78" s="809"/>
      <c r="E78" s="1007">
        <f>E37</f>
        <v>0.7</v>
      </c>
      <c r="F78" s="809"/>
      <c r="G78" s="571"/>
      <c r="H78" s="571"/>
      <c r="I78" s="571"/>
      <c r="J78" s="1005" t="s">
        <v>1466</v>
      </c>
      <c r="K78" s="809"/>
      <c r="L78" s="809"/>
      <c r="M78" s="809"/>
      <c r="N78" s="1007">
        <f>E78</f>
        <v>0.7</v>
      </c>
      <c r="O78" s="809"/>
      <c r="P78" s="571"/>
      <c r="Q78" s="571"/>
      <c r="R78" s="571"/>
      <c r="S78" s="5"/>
    </row>
    <row r="79" spans="1:19" x14ac:dyDescent="0.2">
      <c r="A79" s="1005" t="s">
        <v>1467</v>
      </c>
      <c r="B79" s="809"/>
      <c r="C79" s="809"/>
      <c r="D79" s="809"/>
      <c r="E79" s="1006">
        <f>$B$11*$B$69/(E76*E77/SQRT(2))/E78</f>
        <v>32.555046550003176</v>
      </c>
      <c r="F79" s="809"/>
      <c r="G79" s="571" t="s">
        <v>941</v>
      </c>
      <c r="H79" s="571"/>
      <c r="I79" s="571"/>
      <c r="J79" s="1005" t="s">
        <v>1467</v>
      </c>
      <c r="K79" s="809"/>
      <c r="L79" s="809"/>
      <c r="M79" s="809"/>
      <c r="N79" s="1006">
        <f>E79*145.04</f>
        <v>4721.7839516124604</v>
      </c>
      <c r="O79" s="809"/>
      <c r="P79" s="571" t="s">
        <v>926</v>
      </c>
      <c r="Q79" s="571"/>
      <c r="R79" s="571"/>
      <c r="S79" s="5"/>
    </row>
    <row r="80" spans="1:19" x14ac:dyDescent="0.2">
      <c r="A80" s="1005" t="s">
        <v>1468</v>
      </c>
      <c r="B80" s="809"/>
      <c r="C80" s="809"/>
      <c r="D80" s="809"/>
      <c r="E80" s="1006">
        <f>'Allowable Stresses'!$I$31/E79</f>
        <v>5.7181777643129283</v>
      </c>
      <c r="F80" s="809"/>
      <c r="G80" s="571"/>
      <c r="H80" s="571"/>
      <c r="I80" s="571"/>
      <c r="J80" s="1005" t="s">
        <v>1468</v>
      </c>
      <c r="K80" s="809"/>
      <c r="L80" s="809"/>
      <c r="M80" s="809"/>
      <c r="N80" s="1006">
        <f>'Allowable Stresses'!$I$32/N79</f>
        <v>5.7181777643129275</v>
      </c>
      <c r="O80" s="809"/>
      <c r="P80" s="571"/>
      <c r="Q80" s="571"/>
      <c r="R80" s="571"/>
      <c r="S80" s="5"/>
    </row>
    <row r="81" spans="1:19" x14ac:dyDescent="0.2">
      <c r="A81" s="572"/>
      <c r="B81" s="1007"/>
      <c r="C81" s="809"/>
      <c r="D81" s="571"/>
      <c r="E81" s="1008" t="str">
        <f>IF(E80&gt;1,"OK","ERROR")</f>
        <v>OK</v>
      </c>
      <c r="F81" s="809"/>
      <c r="G81" s="571"/>
      <c r="H81" s="571"/>
      <c r="I81" s="571"/>
      <c r="J81" s="572"/>
      <c r="K81" s="1007"/>
      <c r="L81" s="809"/>
      <c r="M81" s="571"/>
      <c r="N81" s="1008" t="str">
        <f>IF(N80&gt;1,"OK","ERROR")</f>
        <v>OK</v>
      </c>
      <c r="O81" s="809"/>
      <c r="P81" s="571"/>
      <c r="Q81" s="571"/>
      <c r="R81" s="571"/>
      <c r="S81" s="5"/>
    </row>
    <row r="82" spans="1:19" x14ac:dyDescent="0.2">
      <c r="A82" s="571"/>
      <c r="B82" s="571"/>
      <c r="C82" s="571"/>
      <c r="D82" s="571"/>
      <c r="E82" s="571"/>
      <c r="F82" s="571"/>
      <c r="G82" s="571"/>
      <c r="H82" s="571"/>
      <c r="I82" s="571"/>
      <c r="J82" s="571"/>
      <c r="K82" s="571"/>
      <c r="L82" s="571"/>
      <c r="M82" s="571"/>
      <c r="N82" s="571"/>
      <c r="O82" s="571"/>
      <c r="P82" s="571"/>
      <c r="Q82" s="571"/>
      <c r="R82" s="571"/>
      <c r="S82" s="5"/>
    </row>
    <row r="83" spans="1:19" ht="18" customHeight="1" x14ac:dyDescent="0.25">
      <c r="A83" s="1019" t="s">
        <v>1469</v>
      </c>
      <c r="B83" s="809"/>
      <c r="C83" s="809"/>
      <c r="D83" s="809"/>
      <c r="E83" s="809"/>
      <c r="F83" s="809"/>
      <c r="G83" s="809"/>
      <c r="H83" s="809"/>
      <c r="I83" s="809"/>
      <c r="J83" s="1019" t="s">
        <v>1470</v>
      </c>
      <c r="K83" s="809"/>
      <c r="L83" s="809"/>
      <c r="M83" s="809"/>
      <c r="N83" s="809"/>
      <c r="O83" s="809"/>
      <c r="P83" s="809"/>
      <c r="Q83" s="809"/>
      <c r="R83" s="809"/>
      <c r="S83" s="5"/>
    </row>
    <row r="84" spans="1:19" x14ac:dyDescent="0.2">
      <c r="A84" s="571"/>
      <c r="B84" s="571"/>
      <c r="C84" s="571"/>
      <c r="D84" s="571"/>
      <c r="E84" s="571"/>
      <c r="F84" s="571"/>
      <c r="G84" s="571"/>
      <c r="H84" s="571"/>
      <c r="I84" s="571"/>
      <c r="J84" s="571"/>
      <c r="K84" s="571"/>
      <c r="L84" s="571"/>
      <c r="M84" s="571"/>
      <c r="N84" s="571"/>
      <c r="O84" s="571"/>
      <c r="P84" s="571"/>
      <c r="Q84" s="571"/>
      <c r="R84" s="571"/>
      <c r="S84" s="5"/>
    </row>
    <row r="85" spans="1:19" x14ac:dyDescent="0.2">
      <c r="A85" s="1005" t="s">
        <v>1464</v>
      </c>
      <c r="B85" s="809"/>
      <c r="C85" s="809"/>
      <c r="D85" s="809"/>
      <c r="E85" s="1020">
        <f>E44</f>
        <v>10</v>
      </c>
      <c r="F85" s="809"/>
      <c r="G85" s="571" t="s">
        <v>247</v>
      </c>
      <c r="H85" s="571"/>
      <c r="I85" s="571"/>
      <c r="J85" s="1005" t="s">
        <v>1464</v>
      </c>
      <c r="K85" s="809"/>
      <c r="L85" s="809"/>
      <c r="M85" s="809"/>
      <c r="N85" s="1021">
        <f>E85/25.4</f>
        <v>0.39370078740157483</v>
      </c>
      <c r="O85" s="809"/>
      <c r="P85" s="571" t="s">
        <v>248</v>
      </c>
      <c r="Q85" s="571"/>
      <c r="R85" s="571"/>
      <c r="S85" s="5"/>
    </row>
    <row r="86" spans="1:19" x14ac:dyDescent="0.2">
      <c r="A86" s="1005" t="s">
        <v>1465</v>
      </c>
      <c r="B86" s="809"/>
      <c r="C86" s="809"/>
      <c r="D86" s="809"/>
      <c r="E86" s="1007">
        <f>E45</f>
        <v>1000</v>
      </c>
      <c r="F86" s="809"/>
      <c r="G86" s="571" t="s">
        <v>247</v>
      </c>
      <c r="H86" s="571"/>
      <c r="I86" s="571"/>
      <c r="J86" s="1005" t="s">
        <v>1465</v>
      </c>
      <c r="K86" s="809"/>
      <c r="L86" s="809"/>
      <c r="M86" s="809"/>
      <c r="N86" s="1006">
        <f>E86/25.4</f>
        <v>39.370078740157481</v>
      </c>
      <c r="O86" s="809"/>
      <c r="P86" s="571" t="s">
        <v>248</v>
      </c>
      <c r="Q86" s="571"/>
      <c r="R86" s="571"/>
      <c r="S86" s="5"/>
    </row>
    <row r="87" spans="1:19" x14ac:dyDescent="0.2">
      <c r="A87" s="1005" t="s">
        <v>1466</v>
      </c>
      <c r="B87" s="809"/>
      <c r="C87" s="809"/>
      <c r="D87" s="809"/>
      <c r="E87" s="1007">
        <f>E46</f>
        <v>0.7</v>
      </c>
      <c r="F87" s="809"/>
      <c r="G87" s="571"/>
      <c r="H87" s="571"/>
      <c r="I87" s="571"/>
      <c r="J87" s="1005" t="s">
        <v>1466</v>
      </c>
      <c r="K87" s="809"/>
      <c r="L87" s="809"/>
      <c r="M87" s="809"/>
      <c r="N87" s="1007">
        <f>N78</f>
        <v>0.7</v>
      </c>
      <c r="O87" s="809"/>
      <c r="P87" s="571"/>
      <c r="Q87" s="571"/>
      <c r="R87" s="571"/>
      <c r="S87" s="5"/>
    </row>
    <row r="88" spans="1:19" x14ac:dyDescent="0.2">
      <c r="A88" s="1005" t="s">
        <v>1467</v>
      </c>
      <c r="B88" s="809"/>
      <c r="C88" s="809"/>
      <c r="D88" s="809"/>
      <c r="E88" s="1006">
        <f>$B$11*$B$69/(E85*E86/SQRT(2))/E87</f>
        <v>18.556376533501812</v>
      </c>
      <c r="F88" s="809"/>
      <c r="G88" s="571" t="s">
        <v>941</v>
      </c>
      <c r="H88" s="571"/>
      <c r="I88" s="571"/>
      <c r="J88" s="1005" t="s">
        <v>1467</v>
      </c>
      <c r="K88" s="809"/>
      <c r="L88" s="809"/>
      <c r="M88" s="809"/>
      <c r="N88" s="1006">
        <f>E88*145.04</f>
        <v>2691.4168524191027</v>
      </c>
      <c r="O88" s="809"/>
      <c r="P88" s="571" t="s">
        <v>926</v>
      </c>
      <c r="Q88" s="571"/>
      <c r="R88" s="571"/>
      <c r="S88" s="5"/>
    </row>
    <row r="89" spans="1:19" x14ac:dyDescent="0.2">
      <c r="A89" s="1005" t="s">
        <v>1468</v>
      </c>
      <c r="B89" s="809"/>
      <c r="C89" s="809"/>
      <c r="D89" s="809"/>
      <c r="E89" s="1006">
        <f>'Allowable Stresses'!$I$31/E88</f>
        <v>10.031890814584083</v>
      </c>
      <c r="F89" s="809"/>
      <c r="G89" s="571"/>
      <c r="H89" s="571"/>
      <c r="I89" s="571"/>
      <c r="J89" s="1005" t="s">
        <v>1468</v>
      </c>
      <c r="K89" s="809"/>
      <c r="L89" s="809"/>
      <c r="M89" s="809"/>
      <c r="N89" s="1006">
        <f>'Allowable Stresses'!$I$32/N88</f>
        <v>10.031890814584083</v>
      </c>
      <c r="O89" s="809"/>
      <c r="P89" s="571"/>
      <c r="Q89" s="571"/>
      <c r="R89" s="571"/>
      <c r="S89" s="5"/>
    </row>
    <row r="90" spans="1:19" ht="18" customHeight="1" x14ac:dyDescent="0.25">
      <c r="A90" s="574"/>
      <c r="B90" s="1007"/>
      <c r="C90" s="809"/>
      <c r="D90" s="571"/>
      <c r="E90" s="1008" t="str">
        <f>IF(E89&gt;1,"OK","ERROR")</f>
        <v>OK</v>
      </c>
      <c r="F90" s="809"/>
      <c r="G90" s="571"/>
      <c r="H90" s="571"/>
      <c r="I90" s="571"/>
      <c r="J90" s="574"/>
      <c r="K90" s="1007"/>
      <c r="L90" s="809"/>
      <c r="M90" s="571"/>
      <c r="N90" s="1008" t="str">
        <f>IF(N89&gt;1,"OK","ERROR")</f>
        <v>OK</v>
      </c>
      <c r="O90" s="809"/>
      <c r="P90" s="571"/>
      <c r="Q90" s="571"/>
      <c r="R90" s="571"/>
      <c r="S90" s="5"/>
    </row>
    <row r="91" spans="1:19" x14ac:dyDescent="0.2">
      <c r="A91" s="571"/>
      <c r="B91" s="571"/>
      <c r="C91" s="571"/>
      <c r="D91" s="571"/>
      <c r="E91" s="571"/>
      <c r="F91" s="571"/>
      <c r="G91" s="571"/>
      <c r="H91" s="571"/>
      <c r="I91" s="576"/>
      <c r="J91" s="571"/>
      <c r="K91" s="571"/>
      <c r="L91" s="571"/>
      <c r="M91" s="571"/>
      <c r="N91" s="571"/>
      <c r="O91" s="571"/>
      <c r="P91" s="571"/>
      <c r="Q91" s="571"/>
      <c r="R91" s="576"/>
      <c r="S91" s="5"/>
    </row>
    <row r="92" spans="1:19" ht="15.75" customHeight="1" x14ac:dyDescent="0.25">
      <c r="A92" s="581"/>
      <c r="B92" s="571"/>
      <c r="C92" s="571"/>
      <c r="D92" s="571"/>
      <c r="E92" s="571"/>
      <c r="F92" s="571"/>
      <c r="G92" s="571"/>
      <c r="H92" s="571"/>
      <c r="I92" s="576"/>
      <c r="J92" s="581"/>
      <c r="K92" s="571"/>
      <c r="L92" s="571"/>
      <c r="M92" s="571"/>
      <c r="N92" s="571"/>
      <c r="O92" s="571"/>
      <c r="P92" s="571"/>
      <c r="Q92" s="571"/>
      <c r="R92" s="576"/>
      <c r="S92" s="5"/>
    </row>
    <row r="93" spans="1:19" x14ac:dyDescent="0.2">
      <c r="A93" s="571"/>
      <c r="B93" s="571"/>
      <c r="C93" s="571"/>
      <c r="D93" s="571"/>
      <c r="E93" s="571"/>
      <c r="F93" s="571"/>
      <c r="G93" s="571"/>
      <c r="H93" s="571"/>
      <c r="I93" s="576"/>
      <c r="J93" s="571"/>
      <c r="K93" s="571"/>
      <c r="L93" s="571"/>
      <c r="M93" s="571"/>
      <c r="N93" s="571"/>
      <c r="O93" s="571"/>
      <c r="P93" s="571"/>
      <c r="Q93" s="571"/>
      <c r="R93" s="576"/>
      <c r="S93" s="5"/>
    </row>
    <row r="94" spans="1:19" ht="15.75" customHeight="1" x14ac:dyDescent="0.25">
      <c r="A94" s="581"/>
      <c r="B94" s="571"/>
      <c r="C94" s="571"/>
      <c r="D94" s="571"/>
      <c r="E94" s="571"/>
      <c r="F94" s="571"/>
      <c r="G94" s="571"/>
      <c r="H94" s="571"/>
      <c r="I94" s="576"/>
      <c r="J94" s="581"/>
      <c r="K94" s="571"/>
      <c r="L94" s="571"/>
      <c r="M94" s="571"/>
      <c r="N94" s="571"/>
      <c r="O94" s="571"/>
      <c r="P94" s="571"/>
      <c r="Q94" s="571"/>
      <c r="R94" s="576"/>
      <c r="S94" s="5"/>
    </row>
    <row r="95" spans="1:19" x14ac:dyDescent="0.2">
      <c r="A95" s="571"/>
      <c r="B95" s="571"/>
      <c r="C95" s="571"/>
      <c r="D95" s="571"/>
      <c r="E95" s="571"/>
      <c r="F95" s="571"/>
      <c r="G95" s="571"/>
      <c r="H95" s="571"/>
      <c r="I95" s="576"/>
      <c r="J95" s="571"/>
      <c r="K95" s="571"/>
      <c r="L95" s="571"/>
      <c r="M95" s="571"/>
      <c r="N95" s="571"/>
      <c r="O95" s="571"/>
      <c r="P95" s="571"/>
      <c r="Q95" s="571"/>
      <c r="R95" s="576"/>
      <c r="S95" s="5"/>
    </row>
    <row r="96" spans="1:19" ht="15.75" customHeight="1" x14ac:dyDescent="0.25">
      <c r="A96" s="581"/>
      <c r="B96" s="571"/>
      <c r="C96" s="571"/>
      <c r="D96" s="571"/>
      <c r="E96" s="571"/>
      <c r="F96" s="571"/>
      <c r="G96" s="571"/>
      <c r="H96" s="571"/>
      <c r="I96" s="576"/>
      <c r="J96" s="581"/>
      <c r="K96" s="571"/>
      <c r="L96" s="571"/>
      <c r="M96" s="571"/>
      <c r="N96" s="571"/>
      <c r="O96" s="571"/>
      <c r="P96" s="571"/>
      <c r="Q96" s="571"/>
      <c r="R96" s="576"/>
      <c r="S96" s="5"/>
    </row>
    <row r="97" spans="1:19" x14ac:dyDescent="0.2">
      <c r="A97" s="571"/>
      <c r="B97" s="571"/>
      <c r="C97" s="571"/>
      <c r="D97" s="571"/>
      <c r="E97" s="571"/>
      <c r="F97" s="571"/>
      <c r="G97" s="571"/>
      <c r="H97" s="571"/>
      <c r="I97" s="576"/>
      <c r="J97" s="571"/>
      <c r="K97" s="571"/>
      <c r="L97" s="571"/>
      <c r="M97" s="571"/>
      <c r="N97" s="571"/>
      <c r="O97" s="571"/>
      <c r="P97" s="571"/>
      <c r="Q97" s="571"/>
      <c r="R97" s="576"/>
      <c r="S97" s="5"/>
    </row>
    <row r="98" spans="1:19" ht="15.75" customHeight="1" x14ac:dyDescent="0.25">
      <c r="A98" s="581"/>
      <c r="B98" s="571"/>
      <c r="C98" s="571"/>
      <c r="D98" s="571"/>
      <c r="E98" s="571"/>
      <c r="F98" s="571"/>
      <c r="G98" s="571"/>
      <c r="H98" s="571"/>
      <c r="I98" s="576"/>
      <c r="J98" s="581"/>
      <c r="K98" s="571"/>
      <c r="L98" s="571"/>
      <c r="M98" s="571"/>
      <c r="N98" s="571"/>
      <c r="O98" s="571"/>
      <c r="P98" s="571"/>
      <c r="Q98" s="571"/>
      <c r="R98" s="576"/>
      <c r="S98" s="5"/>
    </row>
    <row r="99" spans="1:19" x14ac:dyDescent="0.2">
      <c r="A99" s="571"/>
      <c r="B99" s="571"/>
      <c r="C99" s="571"/>
      <c r="D99" s="571"/>
      <c r="E99" s="571"/>
      <c r="F99" s="571"/>
      <c r="G99" s="571"/>
      <c r="H99" s="571"/>
      <c r="I99" s="576"/>
      <c r="J99" s="571"/>
      <c r="K99" s="571"/>
      <c r="L99" s="571"/>
      <c r="M99" s="571"/>
      <c r="N99" s="571"/>
      <c r="O99" s="571"/>
      <c r="P99" s="571"/>
      <c r="Q99" s="571"/>
      <c r="R99" s="576"/>
      <c r="S99" s="5"/>
    </row>
    <row r="100" spans="1:19" ht="16.5" customHeight="1" thickBot="1" x14ac:dyDescent="0.3">
      <c r="A100" s="581"/>
      <c r="B100" s="571"/>
      <c r="C100" s="571"/>
      <c r="D100" s="571"/>
      <c r="E100" s="571"/>
      <c r="F100" s="571"/>
      <c r="G100" s="571"/>
      <c r="H100" s="571"/>
      <c r="I100" s="571"/>
      <c r="J100" s="581"/>
      <c r="K100" s="571"/>
      <c r="L100" s="571"/>
      <c r="M100" s="571"/>
      <c r="N100" s="571"/>
      <c r="O100" s="571"/>
      <c r="P100" s="571"/>
      <c r="Q100" s="571"/>
      <c r="R100" s="571"/>
      <c r="S100" s="5"/>
    </row>
    <row r="101" spans="1:19" ht="17.25" customHeight="1" thickTop="1" thickBot="1" x14ac:dyDescent="0.3">
      <c r="A101" s="1009"/>
      <c r="B101" s="823"/>
      <c r="C101" s="824"/>
      <c r="D101" s="1010" t="str">
        <f>'Front Page'!$A$13</f>
        <v>Mechanical  Calculations</v>
      </c>
      <c r="E101" s="842"/>
      <c r="F101" s="842"/>
      <c r="G101" s="842"/>
      <c r="H101" s="842"/>
      <c r="I101" s="843"/>
      <c r="J101" s="1009"/>
      <c r="K101" s="823"/>
      <c r="L101" s="824"/>
      <c r="M101" s="1010" t="str">
        <f>'Front Page'!$A$13</f>
        <v>Mechanical  Calculations</v>
      </c>
      <c r="N101" s="842"/>
      <c r="O101" s="842"/>
      <c r="P101" s="842"/>
      <c r="Q101" s="842"/>
      <c r="R101" s="843"/>
      <c r="S101" s="5"/>
    </row>
    <row r="102" spans="1:19" ht="16.5" customHeight="1" thickBot="1" x14ac:dyDescent="0.3">
      <c r="A102" s="825"/>
      <c r="B102" s="809"/>
      <c r="C102" s="826"/>
      <c r="D102" s="1011">
        <f>'Front Page'!$A$21</f>
        <v>0</v>
      </c>
      <c r="E102" s="831"/>
      <c r="F102" s="831"/>
      <c r="G102" s="831"/>
      <c r="H102" s="831"/>
      <c r="I102" s="832"/>
      <c r="J102" s="825"/>
      <c r="K102" s="809"/>
      <c r="L102" s="826"/>
      <c r="M102" s="1011">
        <f>'Front Page'!$A$21</f>
        <v>0</v>
      </c>
      <c r="N102" s="831"/>
      <c r="O102" s="831"/>
      <c r="P102" s="831"/>
      <c r="Q102" s="831"/>
      <c r="R102" s="832"/>
      <c r="S102" s="5"/>
    </row>
    <row r="103" spans="1:19" ht="16.5" customHeight="1" thickBot="1" x14ac:dyDescent="0.3">
      <c r="A103" s="827"/>
      <c r="B103" s="828"/>
      <c r="C103" s="829"/>
      <c r="D103" s="1011" t="s">
        <v>1424</v>
      </c>
      <c r="E103" s="831"/>
      <c r="F103" s="831"/>
      <c r="G103" s="831"/>
      <c r="H103" s="831"/>
      <c r="I103" s="832"/>
      <c r="J103" s="827"/>
      <c r="K103" s="828"/>
      <c r="L103" s="829"/>
      <c r="M103" s="1011" t="s">
        <v>1424</v>
      </c>
      <c r="N103" s="831"/>
      <c r="O103" s="831"/>
      <c r="P103" s="831"/>
      <c r="Q103" s="831"/>
      <c r="R103" s="832"/>
      <c r="S103" s="5"/>
    </row>
    <row r="104" spans="1:19" ht="16.5" customHeight="1" thickTop="1" thickBot="1" x14ac:dyDescent="0.3">
      <c r="A104" s="1012">
        <f>'Front Page'!$A$4</f>
        <v>0</v>
      </c>
      <c r="B104" s="831"/>
      <c r="C104" s="832"/>
      <c r="D104" s="1013" t="str">
        <f>'Front Page'!$D$4</f>
        <v>Doc Nº</v>
      </c>
      <c r="E104" s="832"/>
      <c r="F104" s="1014">
        <f>'Front Page'!$F$4</f>
        <v>0</v>
      </c>
      <c r="G104" s="843"/>
      <c r="H104" s="577"/>
      <c r="I104" s="578"/>
      <c r="J104" s="1012">
        <f>'Front Page'!$A$4</f>
        <v>0</v>
      </c>
      <c r="K104" s="831"/>
      <c r="L104" s="832"/>
      <c r="M104" s="1013" t="str">
        <f>'Front Page'!$D$4</f>
        <v>Doc Nº</v>
      </c>
      <c r="N104" s="832"/>
      <c r="O104" s="1014">
        <f>'Front Page'!$F$4</f>
        <v>0</v>
      </c>
      <c r="P104" s="843"/>
      <c r="Q104" s="577"/>
      <c r="R104" s="578"/>
      <c r="S104" s="5"/>
    </row>
    <row r="105" spans="1:19" ht="15.75" customHeight="1" thickBot="1" x14ac:dyDescent="0.3">
      <c r="A105" s="1015">
        <f>'Front Page'!$A$5</f>
        <v>0</v>
      </c>
      <c r="B105" s="834"/>
      <c r="C105" s="835"/>
      <c r="D105" s="1016" t="str">
        <f>'Front Page'!$D$5</f>
        <v>Project</v>
      </c>
      <c r="E105" s="835"/>
      <c r="F105" s="1017">
        <f>'Front Page'!$F$5</f>
        <v>0</v>
      </c>
      <c r="G105" s="835"/>
      <c r="H105" s="579" t="s">
        <v>5</v>
      </c>
      <c r="I105" s="580">
        <f>MAX('Front Page'!$A$46:$A$47)</f>
        <v>0</v>
      </c>
      <c r="J105" s="1015">
        <f>'Front Page'!$A$5</f>
        <v>0</v>
      </c>
      <c r="K105" s="834"/>
      <c r="L105" s="835"/>
      <c r="M105" s="1016" t="str">
        <f>'Front Page'!$D$5</f>
        <v>Project</v>
      </c>
      <c r="N105" s="835"/>
      <c r="O105" s="1017">
        <f>'Front Page'!$F$5</f>
        <v>0</v>
      </c>
      <c r="P105" s="835"/>
      <c r="Q105" s="579" t="s">
        <v>5</v>
      </c>
      <c r="R105" s="427">
        <f>MAX('Front Page'!$A$33:$A$49)</f>
        <v>0</v>
      </c>
      <c r="S105" s="5"/>
    </row>
    <row r="106" spans="1:19" ht="13.5" customHeight="1" thickTop="1" x14ac:dyDescent="0.2">
      <c r="A106" s="571"/>
      <c r="B106" s="583"/>
      <c r="C106" s="571"/>
      <c r="D106" s="571"/>
      <c r="E106" s="583"/>
      <c r="F106" s="571"/>
      <c r="G106" s="571"/>
      <c r="H106" s="583"/>
      <c r="I106" s="571"/>
      <c r="J106" s="571"/>
      <c r="K106" s="583"/>
      <c r="L106" s="571"/>
      <c r="M106" s="571"/>
      <c r="N106" s="583"/>
      <c r="O106" s="571"/>
      <c r="P106" s="571"/>
      <c r="Q106" s="583"/>
      <c r="R106" s="571"/>
      <c r="S106" s="5"/>
    </row>
    <row r="107" spans="1:19" x14ac:dyDescent="0.2">
      <c r="A107" s="571"/>
      <c r="B107" s="571"/>
      <c r="C107" s="571"/>
      <c r="D107" s="571"/>
      <c r="E107" s="571"/>
      <c r="F107" s="571"/>
      <c r="G107" s="571"/>
      <c r="H107" s="571"/>
      <c r="I107" s="571"/>
      <c r="J107" s="571"/>
      <c r="K107" s="571"/>
      <c r="L107" s="571"/>
      <c r="M107" s="571"/>
      <c r="N107" s="571"/>
      <c r="O107" s="571"/>
      <c r="P107" s="571"/>
      <c r="Q107" s="571"/>
      <c r="R107" s="571"/>
      <c r="S107" s="5"/>
    </row>
    <row r="108" spans="1:19" ht="15.75" customHeight="1" x14ac:dyDescent="0.25">
      <c r="A108" s="581" t="s">
        <v>1474</v>
      </c>
      <c r="B108" s="571"/>
      <c r="C108" s="571"/>
      <c r="D108" s="571"/>
      <c r="E108" s="571"/>
      <c r="F108" s="571"/>
      <c r="G108" s="571"/>
      <c r="H108" s="571"/>
      <c r="I108" s="571"/>
      <c r="J108" s="581" t="s">
        <v>1474</v>
      </c>
      <c r="K108" s="571"/>
      <c r="L108" s="571"/>
      <c r="M108" s="571"/>
      <c r="N108" s="571"/>
      <c r="O108" s="571"/>
      <c r="P108" s="571"/>
      <c r="Q108" s="571"/>
      <c r="R108" s="571"/>
      <c r="S108" s="5"/>
    </row>
    <row r="109" spans="1:19" x14ac:dyDescent="0.2">
      <c r="A109" s="571"/>
      <c r="B109" s="571"/>
      <c r="C109" s="571"/>
      <c r="D109" s="571"/>
      <c r="E109" s="571"/>
      <c r="F109" s="571"/>
      <c r="G109" s="571"/>
      <c r="H109" s="571"/>
      <c r="I109" s="571"/>
      <c r="J109" s="571"/>
      <c r="K109" s="571"/>
      <c r="L109" s="571"/>
      <c r="M109" s="571"/>
      <c r="N109" s="571"/>
      <c r="O109" s="571"/>
      <c r="P109" s="571"/>
      <c r="Q109" s="571"/>
      <c r="R109" s="571"/>
      <c r="S109" s="5"/>
    </row>
    <row r="110" spans="1:19" x14ac:dyDescent="0.2">
      <c r="A110" s="571"/>
      <c r="B110" s="571"/>
      <c r="C110" s="571"/>
      <c r="D110" s="571"/>
      <c r="E110" s="571"/>
      <c r="F110" s="571"/>
      <c r="G110" s="571"/>
      <c r="H110" s="571"/>
      <c r="I110" s="571"/>
      <c r="J110" s="571"/>
      <c r="K110" s="571"/>
      <c r="L110" s="571"/>
      <c r="M110" s="571"/>
      <c r="N110" s="571"/>
      <c r="O110" s="571"/>
      <c r="P110" s="571"/>
      <c r="Q110" s="571"/>
      <c r="R110" s="571"/>
      <c r="S110" s="5"/>
    </row>
    <row r="111" spans="1:19" x14ac:dyDescent="0.2">
      <c r="A111" s="571"/>
      <c r="B111" s="571"/>
      <c r="C111" s="571"/>
      <c r="D111" s="571"/>
      <c r="E111" s="571"/>
      <c r="F111" s="571"/>
      <c r="G111" s="571"/>
      <c r="H111" s="571"/>
      <c r="I111" s="571"/>
      <c r="J111" s="571"/>
      <c r="K111" s="571"/>
      <c r="L111" s="571"/>
      <c r="M111" s="571"/>
      <c r="N111" s="571"/>
      <c r="O111" s="571"/>
      <c r="P111" s="571"/>
      <c r="Q111" s="571"/>
      <c r="R111" s="571"/>
      <c r="S111" s="5"/>
    </row>
    <row r="112" spans="1:19" x14ac:dyDescent="0.2">
      <c r="A112" s="571" t="s">
        <v>1475</v>
      </c>
      <c r="B112" s="571">
        <f>'Main Dimensions Calcs'!D52</f>
        <v>3238.2250389731253</v>
      </c>
      <c r="C112" s="571" t="s">
        <v>1476</v>
      </c>
      <c r="D112" s="571"/>
      <c r="E112" s="571"/>
      <c r="F112" s="571"/>
      <c r="G112" s="571"/>
      <c r="H112" s="571"/>
      <c r="I112" s="571"/>
      <c r="J112" s="571" t="s">
        <v>1475</v>
      </c>
      <c r="K112" s="571">
        <f>B112/25.4</f>
        <v>127.48917476272148</v>
      </c>
      <c r="L112" s="571" t="s">
        <v>1477</v>
      </c>
      <c r="M112" s="571"/>
      <c r="N112" s="571"/>
      <c r="O112" s="571"/>
      <c r="P112" s="571"/>
      <c r="Q112" s="571"/>
      <c r="R112" s="571"/>
      <c r="S112" s="5"/>
    </row>
    <row r="113" spans="1:19" x14ac:dyDescent="0.2">
      <c r="A113" s="571" t="s">
        <v>1478</v>
      </c>
      <c r="B113" s="571">
        <f>B112*1/3</f>
        <v>1079.4083463243751</v>
      </c>
      <c r="C113" s="571" t="s">
        <v>1479</v>
      </c>
      <c r="D113" s="571"/>
      <c r="E113" s="571"/>
      <c r="F113" s="571"/>
      <c r="G113" s="571"/>
      <c r="H113" s="571"/>
      <c r="I113" s="571"/>
      <c r="J113" s="571" t="s">
        <v>1478</v>
      </c>
      <c r="K113" s="571">
        <f>B113/25.4</f>
        <v>42.496391587573825</v>
      </c>
      <c r="L113" s="571" t="s">
        <v>1480</v>
      </c>
      <c r="M113" s="571"/>
      <c r="N113" s="571"/>
      <c r="O113" s="571"/>
      <c r="P113" s="571"/>
      <c r="Q113" s="571"/>
      <c r="R113" s="571"/>
      <c r="S113" s="5"/>
    </row>
    <row r="114" spans="1:19" x14ac:dyDescent="0.2">
      <c r="A114" s="571" t="s">
        <v>363</v>
      </c>
      <c r="B114" s="571">
        <f>'Main Dimensions Calcs'!D40</f>
        <v>1400</v>
      </c>
      <c r="C114" s="571" t="s">
        <v>1481</v>
      </c>
      <c r="D114" s="571"/>
      <c r="E114" s="571"/>
      <c r="F114" s="571"/>
      <c r="G114" s="571"/>
      <c r="H114" s="571"/>
      <c r="I114" s="571"/>
      <c r="J114" s="571" t="s">
        <v>363</v>
      </c>
      <c r="K114" s="571">
        <f>B114/25.4</f>
        <v>55.118110236220474</v>
      </c>
      <c r="L114" s="571" t="s">
        <v>1482</v>
      </c>
      <c r="M114" s="571"/>
      <c r="N114" s="571"/>
      <c r="O114" s="571"/>
      <c r="P114" s="571"/>
      <c r="Q114" s="571"/>
      <c r="R114" s="571"/>
      <c r="S114" s="5"/>
    </row>
    <row r="115" spans="1:19" x14ac:dyDescent="0.2">
      <c r="A115" s="571" t="s">
        <v>1483</v>
      </c>
      <c r="B115" s="586">
        <v>1490</v>
      </c>
      <c r="C115" s="571" t="s">
        <v>1484</v>
      </c>
      <c r="D115" s="571"/>
      <c r="E115" s="571"/>
      <c r="F115" s="571"/>
      <c r="G115" s="571"/>
      <c r="H115" s="571"/>
      <c r="I115" s="571"/>
      <c r="J115" s="571" t="s">
        <v>1483</v>
      </c>
      <c r="K115" s="571">
        <f>B115/25.4</f>
        <v>58.661417322834652</v>
      </c>
      <c r="L115" s="571" t="s">
        <v>1485</v>
      </c>
      <c r="M115" s="571"/>
      <c r="N115" s="571"/>
      <c r="O115" s="571"/>
      <c r="P115" s="571"/>
      <c r="Q115" s="571"/>
      <c r="R115" s="571"/>
      <c r="S115" s="5"/>
    </row>
    <row r="116" spans="1:19" x14ac:dyDescent="0.2">
      <c r="A116" s="571" t="s">
        <v>1486</v>
      </c>
      <c r="B116" s="571">
        <f>SUM(B114:B115,B113)/1000</f>
        <v>3.969408346324375</v>
      </c>
      <c r="C116" s="571" t="s">
        <v>1487</v>
      </c>
      <c r="D116" s="571"/>
      <c r="E116" s="571"/>
      <c r="F116" s="571"/>
      <c r="G116" s="571"/>
      <c r="H116" s="571"/>
      <c r="I116" s="571"/>
      <c r="J116" s="571" t="s">
        <v>1486</v>
      </c>
      <c r="K116" s="571">
        <f>B116/25.4*1000</f>
        <v>156.27591914662895</v>
      </c>
      <c r="L116" s="571" t="s">
        <v>1488</v>
      </c>
      <c r="M116" s="571"/>
      <c r="N116" s="571"/>
      <c r="O116" s="571"/>
      <c r="P116" s="571"/>
      <c r="Q116" s="571"/>
      <c r="R116" s="571"/>
      <c r="S116" s="5"/>
    </row>
    <row r="117" spans="1:19" x14ac:dyDescent="0.2">
      <c r="A117" s="571" t="s">
        <v>1489</v>
      </c>
      <c r="B117" s="571">
        <f>'Design Conditions'!G13</f>
        <v>0.15</v>
      </c>
      <c r="C117" s="571" t="s">
        <v>1490</v>
      </c>
      <c r="D117" s="571"/>
      <c r="E117" s="571"/>
      <c r="F117" s="571"/>
      <c r="G117" s="571"/>
      <c r="H117" s="571"/>
      <c r="I117" s="571"/>
      <c r="J117" s="571" t="s">
        <v>1489</v>
      </c>
      <c r="K117" s="571">
        <f>B117*14.5</f>
        <v>2.1749999999999998</v>
      </c>
      <c r="L117" s="571" t="s">
        <v>1491</v>
      </c>
      <c r="M117" s="571"/>
      <c r="N117" s="571"/>
      <c r="O117" s="571"/>
      <c r="P117" s="571"/>
      <c r="Q117" s="571"/>
      <c r="R117" s="571"/>
      <c r="S117" s="5"/>
    </row>
    <row r="118" spans="1:19" x14ac:dyDescent="0.2">
      <c r="A118" s="571" t="s">
        <v>1119</v>
      </c>
      <c r="B118" s="571">
        <f>B116*1150*9.8/100000</f>
        <v>0.44735232063075708</v>
      </c>
      <c r="C118" s="571" t="s">
        <v>1492</v>
      </c>
      <c r="D118" s="571"/>
      <c r="E118" s="571"/>
      <c r="F118" s="571"/>
      <c r="G118" s="571"/>
      <c r="H118" s="571"/>
      <c r="I118" s="571"/>
      <c r="J118" s="571" t="s">
        <v>1119</v>
      </c>
      <c r="K118" s="571">
        <f>B118*14.5</f>
        <v>6.4866086491459773</v>
      </c>
      <c r="L118" s="571" t="s">
        <v>1493</v>
      </c>
      <c r="M118" s="571"/>
      <c r="N118" s="571"/>
      <c r="O118" s="571"/>
      <c r="P118" s="571"/>
      <c r="Q118" s="571"/>
      <c r="R118" s="571"/>
      <c r="S118" s="5"/>
    </row>
    <row r="119" spans="1:19" x14ac:dyDescent="0.2">
      <c r="A119" s="571" t="s">
        <v>1435</v>
      </c>
      <c r="B119" s="571">
        <f>B117+B118</f>
        <v>0.59735232063075705</v>
      </c>
      <c r="C119" s="571" t="s">
        <v>1494</v>
      </c>
      <c r="D119" s="571"/>
      <c r="E119" s="571"/>
      <c r="F119" s="571"/>
      <c r="G119" s="571"/>
      <c r="H119" s="571"/>
      <c r="I119" s="571"/>
      <c r="J119" s="571" t="s">
        <v>1435</v>
      </c>
      <c r="K119" s="571">
        <f>B119*14.5</f>
        <v>8.6616086491459772</v>
      </c>
      <c r="L119" s="571" t="s">
        <v>1495</v>
      </c>
      <c r="M119" s="571"/>
      <c r="N119" s="571"/>
      <c r="O119" s="571"/>
      <c r="P119" s="571"/>
      <c r="Q119" s="571"/>
      <c r="R119" s="571"/>
      <c r="S119" s="5"/>
    </row>
    <row r="120" spans="1:19" x14ac:dyDescent="0.2">
      <c r="A120" s="5" t="s">
        <v>898</v>
      </c>
      <c r="B120" s="389">
        <f>'Allowable Stresses'!I31</f>
        <v>186.15554329840046</v>
      </c>
      <c r="C120" s="901" t="s">
        <v>1496</v>
      </c>
      <c r="D120" s="809"/>
      <c r="E120" s="809"/>
      <c r="F120" s="809"/>
      <c r="G120" s="809"/>
      <c r="H120" s="809"/>
      <c r="I120" s="571"/>
      <c r="J120" s="5" t="s">
        <v>898</v>
      </c>
      <c r="K120" s="571">
        <f>B120*145.04</f>
        <v>27000</v>
      </c>
      <c r="L120" s="901" t="s">
        <v>1497</v>
      </c>
      <c r="M120" s="809"/>
      <c r="N120" s="809"/>
      <c r="O120" s="809"/>
      <c r="P120" s="809"/>
      <c r="Q120" s="809"/>
      <c r="R120" s="571"/>
      <c r="S120" s="5"/>
    </row>
    <row r="121" spans="1:19" x14ac:dyDescent="0.2">
      <c r="A121" s="571"/>
      <c r="B121" s="571"/>
      <c r="C121" s="571"/>
      <c r="D121" s="571"/>
      <c r="E121" s="571"/>
      <c r="F121" s="571"/>
      <c r="G121" s="571"/>
      <c r="H121" s="571"/>
      <c r="I121" s="571"/>
      <c r="J121" s="571"/>
      <c r="K121" s="571"/>
      <c r="L121" s="571"/>
      <c r="M121" s="571"/>
      <c r="N121" s="571"/>
      <c r="O121" s="571"/>
      <c r="P121" s="571"/>
      <c r="Q121" s="571"/>
      <c r="R121" s="571"/>
      <c r="S121" s="5"/>
    </row>
    <row r="122" spans="1:19" ht="18" customHeight="1" x14ac:dyDescent="0.25">
      <c r="A122" s="1019" t="s">
        <v>1498</v>
      </c>
      <c r="B122" s="809"/>
      <c r="C122" s="809"/>
      <c r="D122" s="809"/>
      <c r="E122" s="809"/>
      <c r="F122" s="809"/>
      <c r="G122" s="809"/>
      <c r="H122" s="809"/>
      <c r="I122" s="809"/>
      <c r="J122" s="1019" t="s">
        <v>1498</v>
      </c>
      <c r="K122" s="809"/>
      <c r="L122" s="809"/>
      <c r="M122" s="809"/>
      <c r="N122" s="809"/>
      <c r="O122" s="809"/>
      <c r="P122" s="809"/>
      <c r="Q122" s="809"/>
      <c r="R122" s="809"/>
      <c r="S122" s="5"/>
    </row>
    <row r="123" spans="1:19" x14ac:dyDescent="0.2">
      <c r="A123" s="571"/>
      <c r="B123" s="571"/>
      <c r="C123" s="571"/>
      <c r="D123" s="571"/>
      <c r="E123" s="571"/>
      <c r="F123" s="571"/>
      <c r="G123" s="571"/>
      <c r="H123" s="571"/>
      <c r="I123" s="571"/>
      <c r="J123" s="571"/>
      <c r="K123" s="571"/>
      <c r="L123" s="571"/>
      <c r="M123" s="571"/>
      <c r="N123" s="571"/>
      <c r="O123" s="571"/>
      <c r="P123" s="571"/>
      <c r="Q123" s="571"/>
      <c r="R123" s="571"/>
      <c r="S123" s="5"/>
    </row>
    <row r="124" spans="1:19" x14ac:dyDescent="0.2">
      <c r="A124" s="571" t="s">
        <v>1050</v>
      </c>
      <c r="B124" s="571">
        <f>(B119)*B12*100000</f>
        <v>19909248.957201939</v>
      </c>
      <c r="C124" s="1018" t="s">
        <v>1450</v>
      </c>
      <c r="D124" s="809"/>
      <c r="E124" s="809"/>
      <c r="F124" s="809"/>
      <c r="G124" s="809"/>
      <c r="H124" s="809"/>
      <c r="I124" s="809"/>
      <c r="J124" s="571" t="s">
        <v>1050</v>
      </c>
      <c r="K124" s="5">
        <f>B124*0.2248</f>
        <v>4475599.1655789958</v>
      </c>
      <c r="L124" s="1018" t="s">
        <v>1451</v>
      </c>
      <c r="M124" s="809"/>
      <c r="N124" s="809"/>
      <c r="O124" s="809"/>
      <c r="P124" s="809"/>
      <c r="Q124" s="809"/>
      <c r="R124" s="809"/>
      <c r="S124" s="5"/>
    </row>
    <row r="125" spans="1:19" x14ac:dyDescent="0.2">
      <c r="A125" s="571"/>
      <c r="B125" s="571"/>
      <c r="C125" s="809"/>
      <c r="D125" s="809"/>
      <c r="E125" s="809"/>
      <c r="F125" s="809"/>
      <c r="G125" s="809"/>
      <c r="H125" s="809"/>
      <c r="I125" s="809"/>
      <c r="J125" s="571"/>
      <c r="K125" s="571"/>
      <c r="L125" s="809"/>
      <c r="M125" s="809"/>
      <c r="N125" s="809"/>
      <c r="O125" s="809"/>
      <c r="P125" s="809"/>
      <c r="Q125" s="809"/>
      <c r="R125" s="809"/>
      <c r="S125" s="5"/>
    </row>
    <row r="126" spans="1:19" x14ac:dyDescent="0.2">
      <c r="A126" s="571"/>
      <c r="B126" s="571"/>
      <c r="C126" s="571"/>
      <c r="D126" s="571"/>
      <c r="E126" s="571"/>
      <c r="F126" s="571"/>
      <c r="G126" s="571"/>
      <c r="H126" s="571"/>
      <c r="I126" s="571"/>
      <c r="J126" s="571"/>
      <c r="K126" s="571"/>
      <c r="L126" s="571"/>
      <c r="M126" s="571"/>
      <c r="N126" s="571"/>
      <c r="O126" s="571"/>
      <c r="P126" s="571"/>
      <c r="Q126" s="571"/>
      <c r="R126" s="571"/>
      <c r="S126" s="5"/>
    </row>
    <row r="127" spans="1:19" x14ac:dyDescent="0.2">
      <c r="A127" s="571" t="s">
        <v>1499</v>
      </c>
      <c r="B127" s="571">
        <f>B124-(B13+'Thermal calculation 1'!K81)*9.8</f>
        <v>18753501.7743086</v>
      </c>
      <c r="C127" s="571" t="s">
        <v>1454</v>
      </c>
      <c r="D127" s="571"/>
      <c r="E127" s="571"/>
      <c r="F127" s="571"/>
      <c r="G127" s="571"/>
      <c r="H127" s="571"/>
      <c r="I127" s="571"/>
      <c r="J127" s="571" t="s">
        <v>1499</v>
      </c>
      <c r="K127" s="5">
        <f>B127*0.2248</f>
        <v>4215787.1988645736</v>
      </c>
      <c r="L127" s="571" t="s">
        <v>1455</v>
      </c>
      <c r="M127" s="571"/>
      <c r="N127" s="571"/>
      <c r="O127" s="571"/>
      <c r="P127" s="571"/>
      <c r="Q127" s="571"/>
      <c r="R127" s="571"/>
      <c r="S127" s="5"/>
    </row>
    <row r="128" spans="1:19" x14ac:dyDescent="0.2">
      <c r="A128" s="571"/>
      <c r="B128" s="571"/>
      <c r="C128" s="571" t="s">
        <v>1456</v>
      </c>
      <c r="D128" s="571"/>
      <c r="E128" s="583"/>
      <c r="F128" s="571"/>
      <c r="G128" s="571"/>
      <c r="H128" s="583"/>
      <c r="I128" s="571"/>
      <c r="J128" s="571"/>
      <c r="K128" s="571"/>
      <c r="L128" s="571" t="s">
        <v>1456</v>
      </c>
      <c r="M128" s="571"/>
      <c r="N128" s="583"/>
      <c r="O128" s="571"/>
      <c r="P128" s="571"/>
      <c r="Q128" s="583"/>
      <c r="R128" s="571"/>
      <c r="S128" s="5"/>
    </row>
    <row r="129" spans="1:19" x14ac:dyDescent="0.2">
      <c r="A129" s="571"/>
      <c r="B129" s="571"/>
      <c r="C129" s="576"/>
      <c r="D129" s="576"/>
      <c r="E129" s="571"/>
      <c r="F129" s="571"/>
      <c r="G129" s="571"/>
      <c r="H129" s="571"/>
      <c r="I129" s="571"/>
      <c r="J129" s="571"/>
      <c r="K129" s="571"/>
      <c r="L129" s="576"/>
      <c r="M129" s="576"/>
      <c r="N129" s="571"/>
      <c r="O129" s="571"/>
      <c r="P129" s="571"/>
      <c r="Q129" s="571"/>
      <c r="R129" s="571"/>
      <c r="S129" s="5"/>
    </row>
    <row r="130" spans="1:19" x14ac:dyDescent="0.2">
      <c r="A130" s="571"/>
      <c r="B130" s="571"/>
      <c r="C130" s="576"/>
      <c r="D130" s="576"/>
      <c r="E130" s="571"/>
      <c r="F130" s="571"/>
      <c r="G130" s="571"/>
      <c r="H130" s="571"/>
      <c r="I130" s="571"/>
      <c r="J130" s="571"/>
      <c r="K130" s="571"/>
      <c r="L130" s="576"/>
      <c r="M130" s="576"/>
      <c r="N130" s="571"/>
      <c r="O130" s="571"/>
      <c r="P130" s="571"/>
      <c r="Q130" s="571"/>
      <c r="R130" s="571"/>
      <c r="S130" s="5"/>
    </row>
    <row r="131" spans="1:19" x14ac:dyDescent="0.2">
      <c r="A131" s="571" t="s">
        <v>1457</v>
      </c>
      <c r="B131" s="571">
        <f>B127/(B11*B17)</f>
        <v>162.79081401309548</v>
      </c>
      <c r="C131" s="64" t="s">
        <v>1458</v>
      </c>
      <c r="D131" s="571"/>
      <c r="E131" s="571"/>
      <c r="F131" s="571"/>
      <c r="G131" s="571"/>
      <c r="H131" s="571"/>
      <c r="I131" s="571"/>
      <c r="J131" s="571" t="s">
        <v>1457</v>
      </c>
      <c r="K131" s="571">
        <f>B131*145.04</f>
        <v>23611.179664459367</v>
      </c>
      <c r="L131" s="64" t="s">
        <v>1459</v>
      </c>
      <c r="M131" s="571"/>
      <c r="N131" s="571"/>
      <c r="O131" s="571"/>
      <c r="P131" s="571"/>
      <c r="Q131" s="571"/>
      <c r="R131" s="571"/>
      <c r="S131" s="5"/>
    </row>
    <row r="132" spans="1:19" x14ac:dyDescent="0.2">
      <c r="A132" s="571"/>
      <c r="B132" s="571"/>
      <c r="C132" s="571"/>
      <c r="D132" s="571"/>
      <c r="E132" s="571"/>
      <c r="F132" s="571"/>
      <c r="G132" s="571"/>
      <c r="H132" s="571"/>
      <c r="I132" s="571"/>
      <c r="J132" s="571"/>
      <c r="K132" s="571"/>
      <c r="L132" s="571"/>
      <c r="M132" s="571"/>
      <c r="N132" s="571"/>
      <c r="O132" s="571"/>
      <c r="P132" s="571"/>
      <c r="Q132" s="571"/>
      <c r="R132" s="571"/>
      <c r="S132" s="5"/>
    </row>
    <row r="133" spans="1:19" x14ac:dyDescent="0.2">
      <c r="A133" s="571"/>
      <c r="B133" s="584">
        <f>B120/B131</f>
        <v>1.143526091609969</v>
      </c>
      <c r="C133" s="584" t="str">
        <f>IF(B133&gt;1,"OK","ERROR")</f>
        <v>OK</v>
      </c>
      <c r="D133" s="64" t="s">
        <v>1461</v>
      </c>
      <c r="E133" s="571"/>
      <c r="F133" s="571"/>
      <c r="G133" s="571"/>
      <c r="H133" s="571"/>
      <c r="I133" s="571"/>
      <c r="J133" s="571"/>
      <c r="K133" s="585">
        <f>K120/K131</f>
        <v>1.143526091609969</v>
      </c>
      <c r="L133" s="584" t="str">
        <f>IF(K133&gt;1,"OK","ERROR")</f>
        <v>OK</v>
      </c>
      <c r="M133" s="64" t="s">
        <v>1461</v>
      </c>
      <c r="N133" s="571"/>
      <c r="O133" s="571"/>
      <c r="P133" s="571"/>
      <c r="Q133" s="571"/>
      <c r="R133" s="571"/>
      <c r="S133" s="5"/>
    </row>
    <row r="134" spans="1:19" x14ac:dyDescent="0.2">
      <c r="A134" s="571"/>
      <c r="B134" s="571"/>
      <c r="C134" s="571"/>
      <c r="D134" s="571"/>
      <c r="E134" s="571"/>
      <c r="F134" s="571"/>
      <c r="G134" s="571"/>
      <c r="H134" s="571"/>
      <c r="I134" s="571"/>
      <c r="J134" s="571"/>
      <c r="K134" s="571"/>
      <c r="L134" s="571"/>
      <c r="M134" s="571"/>
      <c r="N134" s="571"/>
      <c r="O134" s="571"/>
      <c r="P134" s="571"/>
      <c r="Q134" s="571"/>
      <c r="R134" s="571"/>
      <c r="S134" s="5"/>
    </row>
    <row r="135" spans="1:19" x14ac:dyDescent="0.2">
      <c r="A135" s="572"/>
      <c r="B135" s="1007"/>
      <c r="C135" s="809"/>
      <c r="D135" s="1007"/>
      <c r="E135" s="809"/>
      <c r="F135" s="571"/>
      <c r="G135" s="571"/>
      <c r="H135" s="571"/>
      <c r="I135" s="571"/>
      <c r="J135" s="572"/>
      <c r="K135" s="1007"/>
      <c r="L135" s="809"/>
      <c r="M135" s="1007"/>
      <c r="N135" s="809"/>
      <c r="O135" s="571"/>
      <c r="P135" s="571"/>
      <c r="Q135" s="571"/>
      <c r="R135" s="571"/>
      <c r="S135" s="5"/>
    </row>
    <row r="136" spans="1:19" ht="18" customHeight="1" x14ac:dyDescent="0.25">
      <c r="A136" s="1019" t="s">
        <v>1462</v>
      </c>
      <c r="B136" s="809"/>
      <c r="C136" s="809"/>
      <c r="D136" s="809"/>
      <c r="E136" s="809"/>
      <c r="F136" s="809"/>
      <c r="G136" s="809"/>
      <c r="H136" s="809"/>
      <c r="I136" s="809"/>
      <c r="J136" s="1019" t="s">
        <v>1463</v>
      </c>
      <c r="K136" s="809"/>
      <c r="L136" s="809"/>
      <c r="M136" s="809"/>
      <c r="N136" s="809"/>
      <c r="O136" s="809"/>
      <c r="P136" s="809"/>
      <c r="Q136" s="809"/>
      <c r="R136" s="809"/>
      <c r="S136" s="5"/>
    </row>
    <row r="137" spans="1:19" x14ac:dyDescent="0.2">
      <c r="A137" s="572"/>
      <c r="B137" s="1007"/>
      <c r="C137" s="809"/>
      <c r="D137" s="1007"/>
      <c r="E137" s="809"/>
      <c r="F137" s="571"/>
      <c r="G137" s="571"/>
      <c r="H137" s="571"/>
      <c r="I137" s="571"/>
      <c r="J137" s="572"/>
      <c r="K137" s="1007"/>
      <c r="L137" s="809"/>
      <c r="M137" s="1007"/>
      <c r="N137" s="809"/>
      <c r="O137" s="571"/>
      <c r="P137" s="571"/>
      <c r="Q137" s="571"/>
      <c r="R137" s="571"/>
      <c r="S137" s="5"/>
    </row>
    <row r="138" spans="1:19" x14ac:dyDescent="0.2">
      <c r="A138" s="1005" t="s">
        <v>1464</v>
      </c>
      <c r="B138" s="809"/>
      <c r="C138" s="809"/>
      <c r="D138" s="809"/>
      <c r="E138" s="1020">
        <f>E76</f>
        <v>10</v>
      </c>
      <c r="F138" s="809"/>
      <c r="G138" s="571" t="s">
        <v>247</v>
      </c>
      <c r="H138" s="571"/>
      <c r="I138" s="571"/>
      <c r="J138" s="1005" t="s">
        <v>1464</v>
      </c>
      <c r="K138" s="809"/>
      <c r="L138" s="809"/>
      <c r="M138" s="809"/>
      <c r="N138" s="1023">
        <f>E138/25.4</f>
        <v>0.39370078740157483</v>
      </c>
      <c r="O138" s="809"/>
      <c r="P138" s="571" t="s">
        <v>248</v>
      </c>
      <c r="Q138" s="571"/>
      <c r="R138" s="571"/>
      <c r="S138" s="5"/>
    </row>
    <row r="139" spans="1:19" x14ac:dyDescent="0.2">
      <c r="A139" s="1005" t="s">
        <v>1465</v>
      </c>
      <c r="B139" s="809"/>
      <c r="C139" s="809"/>
      <c r="D139" s="809"/>
      <c r="E139" s="1007">
        <f>E77</f>
        <v>570</v>
      </c>
      <c r="F139" s="809"/>
      <c r="G139" s="571" t="s">
        <v>247</v>
      </c>
      <c r="H139" s="571"/>
      <c r="I139" s="571"/>
      <c r="J139" s="1005" t="s">
        <v>1465</v>
      </c>
      <c r="K139" s="809"/>
      <c r="L139" s="809"/>
      <c r="M139" s="809"/>
      <c r="N139" s="1006">
        <f>E139/25.4</f>
        <v>22.440944881889767</v>
      </c>
      <c r="O139" s="809"/>
      <c r="P139" s="571" t="s">
        <v>248</v>
      </c>
      <c r="Q139" s="571"/>
      <c r="R139" s="571"/>
      <c r="S139" s="5"/>
    </row>
    <row r="140" spans="1:19" x14ac:dyDescent="0.2">
      <c r="A140" s="1005" t="s">
        <v>1466</v>
      </c>
      <c r="B140" s="809"/>
      <c r="C140" s="809"/>
      <c r="D140" s="809"/>
      <c r="E140" s="1007">
        <f>E87</f>
        <v>0.7</v>
      </c>
      <c r="F140" s="809"/>
      <c r="G140" s="571"/>
      <c r="H140" s="571"/>
      <c r="I140" s="571"/>
      <c r="J140" s="1005" t="s">
        <v>1466</v>
      </c>
      <c r="K140" s="809"/>
      <c r="L140" s="809"/>
      <c r="M140" s="809"/>
      <c r="N140" s="1007">
        <f>E140</f>
        <v>0.7</v>
      </c>
      <c r="O140" s="809"/>
      <c r="P140" s="571"/>
      <c r="Q140" s="571"/>
      <c r="R140" s="571"/>
      <c r="S140" s="5"/>
    </row>
    <row r="141" spans="1:19" x14ac:dyDescent="0.2">
      <c r="A141" s="1005" t="s">
        <v>1467</v>
      </c>
      <c r="B141" s="809"/>
      <c r="C141" s="809"/>
      <c r="D141" s="809"/>
      <c r="E141" s="1006">
        <f>$B$11*$B$131/(E138*E139/SQRT(2))/E140</f>
        <v>110.78302652972067</v>
      </c>
      <c r="F141" s="809"/>
      <c r="G141" s="571" t="s">
        <v>941</v>
      </c>
      <c r="H141" s="571"/>
      <c r="I141" s="571"/>
      <c r="J141" s="1005" t="s">
        <v>1467</v>
      </c>
      <c r="K141" s="809"/>
      <c r="L141" s="809"/>
      <c r="M141" s="809"/>
      <c r="N141" s="1006">
        <f>E141*145.04</f>
        <v>16067.970167870686</v>
      </c>
      <c r="O141" s="809"/>
      <c r="P141" s="571" t="s">
        <v>926</v>
      </c>
      <c r="Q141" s="571"/>
      <c r="R141" s="571"/>
      <c r="S141" s="5"/>
    </row>
    <row r="142" spans="1:19" x14ac:dyDescent="0.2">
      <c r="A142" s="1005" t="s">
        <v>1468</v>
      </c>
      <c r="B142" s="809"/>
      <c r="C142" s="809"/>
      <c r="D142" s="809"/>
      <c r="E142" s="1006">
        <f>'Allowable Stresses'!$I$31/E141</f>
        <v>1.6803615962636567</v>
      </c>
      <c r="F142" s="809"/>
      <c r="G142" s="571"/>
      <c r="H142" s="571"/>
      <c r="I142" s="571"/>
      <c r="J142" s="1005" t="s">
        <v>1468</v>
      </c>
      <c r="K142" s="809"/>
      <c r="L142" s="809"/>
      <c r="M142" s="809"/>
      <c r="N142" s="1006">
        <f>'Allowable Stresses'!$I$32/N141</f>
        <v>1.6803615962636567</v>
      </c>
      <c r="O142" s="809"/>
      <c r="P142" s="571"/>
      <c r="Q142" s="571"/>
      <c r="R142" s="571"/>
      <c r="S142" s="5"/>
    </row>
    <row r="143" spans="1:19" x14ac:dyDescent="0.2">
      <c r="A143" s="572"/>
      <c r="B143" s="1007"/>
      <c r="C143" s="809"/>
      <c r="D143" s="571"/>
      <c r="E143" s="1008" t="str">
        <f>IF(E142&gt;1,"OK","ERROR")</f>
        <v>OK</v>
      </c>
      <c r="F143" s="809"/>
      <c r="G143" s="571"/>
      <c r="H143" s="571"/>
      <c r="I143" s="571"/>
      <c r="J143" s="572"/>
      <c r="K143" s="1007"/>
      <c r="L143" s="809"/>
      <c r="M143" s="571"/>
      <c r="N143" s="1022" t="str">
        <f>IF(N142&gt;1,"OK","ERROR")</f>
        <v>OK</v>
      </c>
      <c r="O143" s="809"/>
      <c r="P143" s="571"/>
      <c r="Q143" s="571"/>
      <c r="R143" s="571"/>
      <c r="S143" s="5"/>
    </row>
    <row r="144" spans="1:19" x14ac:dyDescent="0.2">
      <c r="A144" s="571"/>
      <c r="B144" s="571"/>
      <c r="C144" s="571"/>
      <c r="D144" s="571"/>
      <c r="E144" s="571"/>
      <c r="F144" s="571"/>
      <c r="G144" s="571"/>
      <c r="H144" s="571"/>
      <c r="I144" s="571"/>
      <c r="J144" s="571"/>
      <c r="K144" s="571"/>
      <c r="L144" s="571"/>
      <c r="M144" s="571"/>
      <c r="N144" s="571"/>
      <c r="O144" s="571"/>
      <c r="P144" s="571"/>
      <c r="Q144" s="571"/>
      <c r="R144" s="571"/>
      <c r="S144" s="5"/>
    </row>
    <row r="145" spans="1:19" ht="18" customHeight="1" x14ac:dyDescent="0.25">
      <c r="A145" s="1019" t="s">
        <v>1469</v>
      </c>
      <c r="B145" s="809"/>
      <c r="C145" s="809"/>
      <c r="D145" s="809"/>
      <c r="E145" s="809"/>
      <c r="F145" s="809"/>
      <c r="G145" s="809"/>
      <c r="H145" s="809"/>
      <c r="I145" s="809"/>
      <c r="J145" s="1019" t="s">
        <v>1470</v>
      </c>
      <c r="K145" s="809"/>
      <c r="L145" s="809"/>
      <c r="M145" s="809"/>
      <c r="N145" s="809"/>
      <c r="O145" s="809"/>
      <c r="P145" s="809"/>
      <c r="Q145" s="809"/>
      <c r="R145" s="809"/>
      <c r="S145" s="5"/>
    </row>
    <row r="146" spans="1:19" x14ac:dyDescent="0.2">
      <c r="A146" s="571"/>
      <c r="B146" s="571"/>
      <c r="C146" s="571"/>
      <c r="D146" s="571"/>
      <c r="E146" s="571"/>
      <c r="F146" s="571"/>
      <c r="G146" s="571"/>
      <c r="H146" s="571"/>
      <c r="I146" s="571"/>
      <c r="J146" s="571"/>
      <c r="K146" s="571"/>
      <c r="L146" s="571"/>
      <c r="M146" s="571"/>
      <c r="N146" s="571"/>
      <c r="O146" s="571"/>
      <c r="P146" s="571"/>
      <c r="Q146" s="571"/>
      <c r="R146" s="571"/>
      <c r="S146" s="5"/>
    </row>
    <row r="147" spans="1:19" x14ac:dyDescent="0.2">
      <c r="A147" s="1005" t="s">
        <v>1464</v>
      </c>
      <c r="B147" s="809"/>
      <c r="C147" s="809"/>
      <c r="D147" s="809"/>
      <c r="E147" s="1020">
        <f>E85</f>
        <v>10</v>
      </c>
      <c r="F147" s="809"/>
      <c r="G147" s="571" t="s">
        <v>247</v>
      </c>
      <c r="H147" s="571"/>
      <c r="I147" s="571"/>
      <c r="J147" s="1005" t="s">
        <v>1464</v>
      </c>
      <c r="K147" s="809"/>
      <c r="L147" s="809"/>
      <c r="M147" s="809"/>
      <c r="N147" s="1023">
        <f>E147/25.4</f>
        <v>0.39370078740157483</v>
      </c>
      <c r="O147" s="809"/>
      <c r="P147" s="571" t="s">
        <v>248</v>
      </c>
      <c r="Q147" s="571"/>
      <c r="R147" s="571"/>
      <c r="S147" s="5"/>
    </row>
    <row r="148" spans="1:19" x14ac:dyDescent="0.2">
      <c r="A148" s="1005" t="s">
        <v>1465</v>
      </c>
      <c r="B148" s="809"/>
      <c r="C148" s="809"/>
      <c r="D148" s="809"/>
      <c r="E148" s="1007">
        <f>E86</f>
        <v>1000</v>
      </c>
      <c r="F148" s="809"/>
      <c r="G148" s="571" t="s">
        <v>247</v>
      </c>
      <c r="H148" s="571"/>
      <c r="I148" s="571"/>
      <c r="J148" s="1005" t="s">
        <v>1465</v>
      </c>
      <c r="K148" s="809"/>
      <c r="L148" s="809"/>
      <c r="M148" s="809"/>
      <c r="N148" s="1006">
        <f>E148/25.4</f>
        <v>39.370078740157481</v>
      </c>
      <c r="O148" s="809"/>
      <c r="P148" s="571" t="s">
        <v>248</v>
      </c>
      <c r="Q148" s="571"/>
      <c r="R148" s="571"/>
      <c r="S148" s="5"/>
    </row>
    <row r="149" spans="1:19" x14ac:dyDescent="0.2">
      <c r="A149" s="1005" t="s">
        <v>1466</v>
      </c>
      <c r="B149" s="809"/>
      <c r="C149" s="809"/>
      <c r="D149" s="809"/>
      <c r="E149" s="1007">
        <f>E140</f>
        <v>0.7</v>
      </c>
      <c r="F149" s="809"/>
      <c r="G149" s="571"/>
      <c r="H149" s="571"/>
      <c r="I149" s="571"/>
      <c r="J149" s="1005" t="s">
        <v>1466</v>
      </c>
      <c r="K149" s="809"/>
      <c r="L149" s="809"/>
      <c r="M149" s="809"/>
      <c r="N149" s="1007">
        <f>N140</f>
        <v>0.7</v>
      </c>
      <c r="O149" s="809"/>
      <c r="P149" s="571"/>
      <c r="Q149" s="571"/>
      <c r="R149" s="571"/>
      <c r="S149" s="5"/>
    </row>
    <row r="150" spans="1:19" x14ac:dyDescent="0.2">
      <c r="A150" s="1005" t="s">
        <v>1467</v>
      </c>
      <c r="B150" s="809"/>
      <c r="C150" s="809"/>
      <c r="D150" s="809"/>
      <c r="E150" s="1006">
        <f>$B$11*$B$131/(E147*E148/SQRT(2))/E149</f>
        <v>63.146325121940777</v>
      </c>
      <c r="F150" s="809"/>
      <c r="G150" s="571" t="s">
        <v>941</v>
      </c>
      <c r="H150" s="571"/>
      <c r="I150" s="571"/>
      <c r="J150" s="1005" t="s">
        <v>1467</v>
      </c>
      <c r="K150" s="809"/>
      <c r="L150" s="809"/>
      <c r="M150" s="809"/>
      <c r="N150" s="1006">
        <f>E150*145.04</f>
        <v>9158.7429956862889</v>
      </c>
      <c r="O150" s="809"/>
      <c r="P150" s="571" t="s">
        <v>926</v>
      </c>
      <c r="Q150" s="571"/>
      <c r="R150" s="571"/>
      <c r="S150" s="5"/>
    </row>
    <row r="151" spans="1:19" x14ac:dyDescent="0.2">
      <c r="A151" s="1005" t="s">
        <v>1468</v>
      </c>
      <c r="B151" s="809"/>
      <c r="C151" s="809"/>
      <c r="D151" s="809"/>
      <c r="E151" s="1006">
        <f>'Allowable Stresses'!$I$31/E150</f>
        <v>2.948002800462556</v>
      </c>
      <c r="F151" s="809"/>
      <c r="G151" s="571"/>
      <c r="H151" s="571"/>
      <c r="I151" s="571"/>
      <c r="J151" s="1005" t="s">
        <v>1468</v>
      </c>
      <c r="K151" s="809"/>
      <c r="L151" s="809"/>
      <c r="M151" s="809"/>
      <c r="N151" s="1006">
        <f>'Allowable Stresses'!$I$32/N150</f>
        <v>2.948002800462556</v>
      </c>
      <c r="O151" s="809"/>
      <c r="P151" s="571"/>
      <c r="Q151" s="571"/>
      <c r="R151" s="571"/>
      <c r="S151" s="5"/>
    </row>
    <row r="152" spans="1:19" ht="18.75" customHeight="1" thickBot="1" x14ac:dyDescent="0.3">
      <c r="A152" s="574"/>
      <c r="B152" s="1007"/>
      <c r="C152" s="809"/>
      <c r="D152" s="571"/>
      <c r="E152" s="1008" t="str">
        <f>IF(E151&gt;1,"OK","ERROR")</f>
        <v>OK</v>
      </c>
      <c r="F152" s="809"/>
      <c r="G152" s="571"/>
      <c r="H152" s="571"/>
      <c r="I152" s="571"/>
      <c r="J152" s="574"/>
      <c r="K152" s="1007"/>
      <c r="L152" s="809"/>
      <c r="M152" s="571"/>
      <c r="N152" s="1008" t="str">
        <f>IF(N151&gt;1,"OK","ERROR")</f>
        <v>OK</v>
      </c>
      <c r="O152" s="809"/>
      <c r="P152" s="571"/>
      <c r="Q152" s="571"/>
      <c r="R152" s="571"/>
      <c r="S152" s="5"/>
    </row>
    <row r="153" spans="1:19" ht="17.25" customHeight="1" thickTop="1" thickBot="1" x14ac:dyDescent="0.3">
      <c r="A153" s="1009"/>
      <c r="B153" s="823"/>
      <c r="C153" s="824"/>
      <c r="D153" s="1010" t="str">
        <f>'Front Page'!$A$13</f>
        <v>Mechanical  Calculations</v>
      </c>
      <c r="E153" s="842"/>
      <c r="F153" s="842"/>
      <c r="G153" s="842"/>
      <c r="H153" s="842"/>
      <c r="I153" s="843"/>
      <c r="J153" s="1009"/>
      <c r="K153" s="823"/>
      <c r="L153" s="824"/>
      <c r="M153" s="1010" t="str">
        <f>'Front Page'!$A$13</f>
        <v>Mechanical  Calculations</v>
      </c>
      <c r="N153" s="842"/>
      <c r="O153" s="842"/>
      <c r="P153" s="842"/>
      <c r="Q153" s="842"/>
      <c r="R153" s="843"/>
      <c r="S153" s="5"/>
    </row>
    <row r="154" spans="1:19" ht="16.5" customHeight="1" thickBot="1" x14ac:dyDescent="0.3">
      <c r="A154" s="825"/>
      <c r="B154" s="809"/>
      <c r="C154" s="826"/>
      <c r="D154" s="1011">
        <f>'Front Page'!$A$21</f>
        <v>0</v>
      </c>
      <c r="E154" s="831"/>
      <c r="F154" s="831"/>
      <c r="G154" s="831"/>
      <c r="H154" s="831"/>
      <c r="I154" s="832"/>
      <c r="J154" s="825"/>
      <c r="K154" s="809"/>
      <c r="L154" s="826"/>
      <c r="M154" s="1011">
        <f>'Front Page'!$A$21</f>
        <v>0</v>
      </c>
      <c r="N154" s="831"/>
      <c r="O154" s="831"/>
      <c r="P154" s="831"/>
      <c r="Q154" s="831"/>
      <c r="R154" s="832"/>
      <c r="S154" s="5"/>
    </row>
    <row r="155" spans="1:19" ht="16.5" customHeight="1" thickBot="1" x14ac:dyDescent="0.3">
      <c r="A155" s="827"/>
      <c r="B155" s="828"/>
      <c r="C155" s="829"/>
      <c r="D155" s="1011" t="s">
        <v>1424</v>
      </c>
      <c r="E155" s="831"/>
      <c r="F155" s="831"/>
      <c r="G155" s="831"/>
      <c r="H155" s="831"/>
      <c r="I155" s="832"/>
      <c r="J155" s="827"/>
      <c r="K155" s="828"/>
      <c r="L155" s="829"/>
      <c r="M155" s="1011" t="s">
        <v>1424</v>
      </c>
      <c r="N155" s="831"/>
      <c r="O155" s="831"/>
      <c r="P155" s="831"/>
      <c r="Q155" s="831"/>
      <c r="R155" s="832"/>
      <c r="S155" s="5"/>
    </row>
    <row r="156" spans="1:19" ht="16.5" customHeight="1" thickTop="1" thickBot="1" x14ac:dyDescent="0.3">
      <c r="A156" s="1012">
        <f>'Front Page'!$A$4</f>
        <v>0</v>
      </c>
      <c r="B156" s="831"/>
      <c r="C156" s="832"/>
      <c r="D156" s="1013" t="str">
        <f>'Front Page'!$D$4</f>
        <v>Doc Nº</v>
      </c>
      <c r="E156" s="832"/>
      <c r="F156" s="1014">
        <f>'Front Page'!$F$4</f>
        <v>0</v>
      </c>
      <c r="G156" s="843"/>
      <c r="H156" s="577"/>
      <c r="I156" s="578"/>
      <c r="J156" s="1012">
        <f>'Front Page'!$A$4</f>
        <v>0</v>
      </c>
      <c r="K156" s="831"/>
      <c r="L156" s="832"/>
      <c r="M156" s="1013" t="str">
        <f>'Front Page'!$D$4</f>
        <v>Doc Nº</v>
      </c>
      <c r="N156" s="832"/>
      <c r="O156" s="1014">
        <f>'Front Page'!$F$4</f>
        <v>0</v>
      </c>
      <c r="P156" s="843"/>
      <c r="Q156" s="577"/>
      <c r="R156" s="578"/>
      <c r="S156" s="5"/>
    </row>
    <row r="157" spans="1:19" ht="15.75" customHeight="1" thickBot="1" x14ac:dyDescent="0.3">
      <c r="A157" s="1015">
        <f>'Front Page'!$A$5</f>
        <v>0</v>
      </c>
      <c r="B157" s="834"/>
      <c r="C157" s="835"/>
      <c r="D157" s="1016" t="str">
        <f>'Front Page'!$D$5</f>
        <v>Project</v>
      </c>
      <c r="E157" s="835"/>
      <c r="F157" s="1017">
        <f>'Front Page'!$F$5</f>
        <v>0</v>
      </c>
      <c r="G157" s="835"/>
      <c r="H157" s="579" t="s">
        <v>5</v>
      </c>
      <c r="I157" s="580">
        <f>MAX('Front Page'!$A$46:$A$47)</f>
        <v>0</v>
      </c>
      <c r="J157" s="1015">
        <f>'Front Page'!$A$5</f>
        <v>0</v>
      </c>
      <c r="K157" s="834"/>
      <c r="L157" s="835"/>
      <c r="M157" s="1016" t="str">
        <f>'Front Page'!$D$5</f>
        <v>Project</v>
      </c>
      <c r="N157" s="835"/>
      <c r="O157" s="1017">
        <f>'Front Page'!$F$5</f>
        <v>0</v>
      </c>
      <c r="P157" s="835"/>
      <c r="Q157" s="579" t="s">
        <v>5</v>
      </c>
      <c r="R157" s="427">
        <f>MAX('Front Page'!$A$33:$A$49)</f>
        <v>0</v>
      </c>
      <c r="S157" s="5"/>
    </row>
    <row r="158" spans="1:19" ht="13.5" customHeight="1" thickTop="1" x14ac:dyDescent="0.2">
      <c r="A158" s="571"/>
      <c r="B158" s="583"/>
      <c r="C158" s="571"/>
      <c r="D158" s="571"/>
      <c r="E158" s="583"/>
      <c r="F158" s="571"/>
      <c r="G158" s="571"/>
      <c r="H158" s="583"/>
      <c r="I158" s="571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x14ac:dyDescent="0.2">
      <c r="A159" s="571"/>
      <c r="B159" s="571"/>
      <c r="C159" s="571"/>
      <c r="D159" s="571"/>
      <c r="E159" s="571"/>
      <c r="F159" s="571"/>
      <c r="G159" s="571"/>
      <c r="H159" s="571"/>
      <c r="I159" s="571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15.75" customHeight="1" x14ac:dyDescent="0.25">
      <c r="A160" s="581" t="s">
        <v>1500</v>
      </c>
      <c r="B160" s="571"/>
      <c r="C160" s="571"/>
      <c r="D160" s="571"/>
      <c r="E160" s="571"/>
      <c r="F160" s="571"/>
      <c r="G160" s="571"/>
      <c r="H160" s="571"/>
      <c r="I160" s="571"/>
      <c r="J160" s="581" t="s">
        <v>1500</v>
      </c>
      <c r="K160" s="571"/>
      <c r="L160" s="571"/>
      <c r="M160" s="571"/>
      <c r="N160" s="571"/>
      <c r="O160" s="571"/>
      <c r="P160" s="571"/>
      <c r="Q160" s="571"/>
      <c r="R160" s="571"/>
      <c r="S160" s="5"/>
    </row>
    <row r="161" spans="1:19" x14ac:dyDescent="0.2">
      <c r="A161" s="571"/>
      <c r="B161" s="571"/>
      <c r="C161" s="571"/>
      <c r="D161" s="571"/>
      <c r="E161" s="571"/>
      <c r="F161" s="571"/>
      <c r="G161" s="571"/>
      <c r="H161" s="571"/>
      <c r="I161" s="571"/>
      <c r="J161" s="571"/>
      <c r="K161" s="571"/>
      <c r="L161" s="571"/>
      <c r="M161" s="571"/>
      <c r="N161" s="571"/>
      <c r="O161" s="571"/>
      <c r="P161" s="571"/>
      <c r="Q161" s="571"/>
      <c r="R161" s="571"/>
      <c r="S161" s="5"/>
    </row>
    <row r="162" spans="1:19" x14ac:dyDescent="0.2">
      <c r="A162" s="571" t="s">
        <v>1050</v>
      </c>
      <c r="B162" s="571">
        <f>B124/B17</f>
        <v>331820.81595336564</v>
      </c>
      <c r="C162" s="571" t="s">
        <v>1501</v>
      </c>
      <c r="D162" s="571"/>
      <c r="E162" s="571"/>
      <c r="F162" s="571"/>
      <c r="G162" s="571"/>
      <c r="H162" s="571"/>
      <c r="I162" s="571"/>
      <c r="J162" s="571" t="s">
        <v>1050</v>
      </c>
      <c r="K162" s="571">
        <f>B162*0.2248</f>
        <v>74593.319426316593</v>
      </c>
      <c r="L162" s="571" t="s">
        <v>1502</v>
      </c>
      <c r="M162" s="571"/>
      <c r="N162" s="571"/>
      <c r="O162" s="571"/>
      <c r="P162" s="571"/>
      <c r="Q162" s="571"/>
      <c r="R162" s="571"/>
      <c r="S162" s="5"/>
    </row>
    <row r="163" spans="1:19" x14ac:dyDescent="0.2">
      <c r="A163" s="571" t="s">
        <v>1048</v>
      </c>
      <c r="B163" s="571">
        <v>0.55000000000000004</v>
      </c>
      <c r="C163" s="571" t="s">
        <v>1503</v>
      </c>
      <c r="D163" s="571"/>
      <c r="E163" s="571"/>
      <c r="F163" s="571"/>
      <c r="G163" s="571"/>
      <c r="H163" s="571"/>
      <c r="I163" s="571"/>
      <c r="J163" s="571" t="s">
        <v>1048</v>
      </c>
      <c r="K163" s="571">
        <v>0.55000000000000004</v>
      </c>
      <c r="L163" s="571" t="s">
        <v>1503</v>
      </c>
      <c r="M163" s="571"/>
      <c r="N163" s="571"/>
      <c r="O163" s="571"/>
      <c r="P163" s="571"/>
      <c r="Q163" s="571"/>
      <c r="R163" s="571"/>
      <c r="S163" s="5"/>
    </row>
    <row r="164" spans="1:19" x14ac:dyDescent="0.2">
      <c r="A164" s="571" t="s">
        <v>1504</v>
      </c>
      <c r="B164" s="571">
        <f>B11</f>
        <v>1920</v>
      </c>
      <c r="C164" s="571" t="s">
        <v>1505</v>
      </c>
      <c r="D164" s="571"/>
      <c r="E164" s="571"/>
      <c r="F164" s="571"/>
      <c r="G164" s="571"/>
      <c r="H164" s="571"/>
      <c r="I164" s="571"/>
      <c r="J164" s="571" t="s">
        <v>1504</v>
      </c>
      <c r="K164" s="571">
        <f>B164/(25.4*25.4)</f>
        <v>2.9760059520119042</v>
      </c>
      <c r="L164" s="571" t="s">
        <v>1506</v>
      </c>
      <c r="M164" s="571"/>
      <c r="N164" s="571"/>
      <c r="O164" s="571"/>
      <c r="P164" s="571"/>
      <c r="Q164" s="571"/>
      <c r="R164" s="571"/>
      <c r="S164" s="5"/>
    </row>
    <row r="165" spans="1:19" x14ac:dyDescent="0.2">
      <c r="A165" s="571" t="s">
        <v>1507</v>
      </c>
      <c r="B165" s="571">
        <f>'Main Dimensions Calcs'!E64*'Main Dimensions Calcs'!D64*2/SQRT(2)</f>
        <v>2715.2900397563421</v>
      </c>
      <c r="C165" s="571" t="s">
        <v>1508</v>
      </c>
      <c r="D165" s="571"/>
      <c r="E165" s="571"/>
      <c r="F165" s="571"/>
      <c r="G165" s="571"/>
      <c r="H165" s="571"/>
      <c r="I165" s="571"/>
      <c r="J165" s="571" t="s">
        <v>1507</v>
      </c>
      <c r="K165" s="571">
        <f>B165/(25.4*25.4)</f>
        <v>4.2087079790382882</v>
      </c>
      <c r="L165" s="571" t="s">
        <v>1509</v>
      </c>
      <c r="M165" s="571"/>
      <c r="N165" s="571"/>
      <c r="O165" s="571"/>
      <c r="P165" s="571"/>
      <c r="Q165" s="571"/>
      <c r="R165" s="571"/>
      <c r="S165" s="5"/>
    </row>
    <row r="166" spans="1:19" x14ac:dyDescent="0.2">
      <c r="A166" s="571" t="s">
        <v>1090</v>
      </c>
      <c r="B166" s="571">
        <f>B164+B165</f>
        <v>4635.2900397563426</v>
      </c>
      <c r="C166" s="571" t="s">
        <v>1510</v>
      </c>
      <c r="D166" s="571"/>
      <c r="E166" s="571"/>
      <c r="F166" s="571"/>
      <c r="G166" s="571"/>
      <c r="H166" s="571"/>
      <c r="I166" s="571"/>
      <c r="J166" s="571" t="s">
        <v>1090</v>
      </c>
      <c r="K166" s="571">
        <f>B166/(25.4*25.4)</f>
        <v>7.1847139310501937</v>
      </c>
      <c r="L166" s="571" t="s">
        <v>1511</v>
      </c>
      <c r="M166" s="571"/>
      <c r="N166" s="571"/>
      <c r="O166" s="571"/>
      <c r="P166" s="571"/>
      <c r="Q166" s="571"/>
      <c r="R166" s="571"/>
      <c r="S166" s="5"/>
    </row>
    <row r="167" spans="1:19" x14ac:dyDescent="0.2">
      <c r="A167" s="571" t="s">
        <v>930</v>
      </c>
      <c r="B167" s="586">
        <f>B162/(B166*B163)</f>
        <v>130.1559490962033</v>
      </c>
      <c r="C167" s="571" t="s">
        <v>1512</v>
      </c>
      <c r="D167" s="571"/>
      <c r="E167" s="571"/>
      <c r="F167" s="571"/>
      <c r="G167" s="571"/>
      <c r="H167" s="571"/>
      <c r="I167" s="571"/>
      <c r="J167" s="571" t="s">
        <v>930</v>
      </c>
      <c r="K167" s="571">
        <f>B167*145</f>
        <v>18872.612618949479</v>
      </c>
      <c r="L167" s="571" t="s">
        <v>1513</v>
      </c>
      <c r="M167" s="571"/>
      <c r="N167" s="571"/>
      <c r="O167" s="571"/>
      <c r="P167" s="571"/>
      <c r="Q167" s="571"/>
      <c r="R167" s="571"/>
      <c r="S167" s="5"/>
    </row>
    <row r="168" spans="1:19" x14ac:dyDescent="0.2">
      <c r="A168" s="571"/>
      <c r="B168" s="571"/>
      <c r="C168" s="571"/>
      <c r="D168" s="571"/>
      <c r="E168" s="571"/>
      <c r="F168" s="571"/>
      <c r="G168" s="571"/>
      <c r="H168" s="571"/>
      <c r="I168" s="571"/>
      <c r="J168" s="571"/>
      <c r="K168" s="571"/>
      <c r="L168" s="571"/>
      <c r="M168" s="571"/>
      <c r="N168" s="571"/>
      <c r="O168" s="571"/>
      <c r="P168" s="571"/>
      <c r="Q168" s="571"/>
      <c r="R168" s="571"/>
      <c r="S168" s="5"/>
    </row>
    <row r="169" spans="1:19" x14ac:dyDescent="0.2">
      <c r="A169" s="571" t="s">
        <v>1136</v>
      </c>
      <c r="B169" s="571">
        <f>$B$120/B167</f>
        <v>1.4302499777463549</v>
      </c>
      <c r="C169" s="571" t="str">
        <f>IF(B169&gt;1,"OK","ERROR")</f>
        <v>OK</v>
      </c>
      <c r="D169" s="571"/>
      <c r="E169" s="571"/>
      <c r="F169" s="571"/>
      <c r="G169" s="571"/>
      <c r="H169" s="571"/>
      <c r="I169" s="571"/>
      <c r="J169" s="571" t="s">
        <v>1136</v>
      </c>
      <c r="K169" s="587">
        <f>B169</f>
        <v>1.4302499777463549</v>
      </c>
      <c r="L169" s="588" t="str">
        <f>IF(K169&gt;1,"OK","ERROR")</f>
        <v>OK</v>
      </c>
      <c r="M169" s="571"/>
      <c r="N169" s="571"/>
      <c r="O169" s="571"/>
      <c r="P169" s="571"/>
      <c r="Q169" s="571"/>
      <c r="R169" s="571"/>
      <c r="S169" s="5"/>
    </row>
    <row r="170" spans="1:19" x14ac:dyDescent="0.2">
      <c r="A170" s="571"/>
      <c r="B170" s="571"/>
      <c r="C170" s="571"/>
      <c r="D170" s="571"/>
      <c r="E170" s="571"/>
      <c r="F170" s="571"/>
      <c r="G170" s="571"/>
      <c r="H170" s="571"/>
      <c r="I170" s="571"/>
      <c r="J170" s="571"/>
      <c r="K170" s="571"/>
      <c r="L170" s="571"/>
      <c r="M170" s="571"/>
      <c r="N170" s="571"/>
      <c r="O170" s="571"/>
      <c r="P170" s="571"/>
      <c r="Q170" s="571"/>
      <c r="R170" s="571"/>
      <c r="S170" s="5"/>
    </row>
    <row r="171" spans="1:19" x14ac:dyDescent="0.2">
      <c r="A171" s="5"/>
      <c r="B171" s="389"/>
      <c r="C171" s="901"/>
      <c r="D171" s="809"/>
      <c r="E171" s="809"/>
      <c r="F171" s="809"/>
      <c r="G171" s="809"/>
      <c r="H171" s="809"/>
      <c r="I171" s="571"/>
      <c r="J171" s="5"/>
      <c r="K171" s="5"/>
      <c r="L171" s="901"/>
      <c r="M171" s="809"/>
      <c r="N171" s="809"/>
      <c r="O171" s="809"/>
      <c r="P171" s="809"/>
      <c r="Q171" s="809"/>
      <c r="R171" s="571"/>
      <c r="S171" s="5"/>
    </row>
    <row r="172" spans="1:19" x14ac:dyDescent="0.2">
      <c r="A172" s="571"/>
      <c r="B172" s="571"/>
      <c r="C172" s="571"/>
      <c r="D172" s="571"/>
      <c r="E172" s="571"/>
      <c r="F172" s="571"/>
      <c r="G172" s="571"/>
      <c r="H172" s="571"/>
      <c r="I172" s="571"/>
      <c r="J172" s="571"/>
      <c r="K172" s="571"/>
      <c r="L172" s="571"/>
      <c r="M172" s="571"/>
      <c r="N172" s="571"/>
      <c r="O172" s="571"/>
      <c r="P172" s="571"/>
      <c r="Q172" s="571"/>
      <c r="R172" s="571"/>
      <c r="S172" s="5"/>
    </row>
    <row r="173" spans="1:19" ht="18" customHeight="1" x14ac:dyDescent="0.25">
      <c r="A173" s="581" t="s">
        <v>1514</v>
      </c>
      <c r="B173" s="581"/>
      <c r="C173" s="581"/>
      <c r="D173" s="581"/>
      <c r="E173" s="581"/>
      <c r="F173" s="581"/>
      <c r="G173" s="581"/>
      <c r="H173" s="581"/>
      <c r="I173" s="581"/>
      <c r="J173" s="574" t="s">
        <v>1463</v>
      </c>
      <c r="K173" s="589"/>
      <c r="L173" s="589"/>
      <c r="M173" s="589"/>
      <c r="N173" s="589"/>
      <c r="O173" s="589"/>
      <c r="P173" s="589"/>
      <c r="Q173" s="589"/>
      <c r="R173" s="589"/>
      <c r="S173" s="589"/>
    </row>
    <row r="174" spans="1:19" x14ac:dyDescent="0.2">
      <c r="A174" s="571"/>
      <c r="B174" s="571"/>
      <c r="C174" s="571"/>
      <c r="D174" s="571"/>
      <c r="E174" s="571"/>
      <c r="F174" s="571"/>
      <c r="G174" s="571"/>
      <c r="H174" s="571"/>
      <c r="I174" s="571"/>
      <c r="J174" s="571"/>
      <c r="K174" s="571"/>
      <c r="L174" s="571"/>
      <c r="M174" s="571"/>
      <c r="N174" s="571"/>
      <c r="O174" s="571"/>
      <c r="P174" s="571"/>
      <c r="Q174" s="571"/>
      <c r="R174" s="571"/>
      <c r="S174" s="5"/>
    </row>
    <row r="175" spans="1:19" x14ac:dyDescent="0.2">
      <c r="A175" s="571" t="s">
        <v>1515</v>
      </c>
      <c r="B175" s="571">
        <v>10</v>
      </c>
      <c r="C175" s="571" t="s">
        <v>1516</v>
      </c>
      <c r="D175" s="571"/>
      <c r="E175" s="571"/>
      <c r="F175" s="571"/>
      <c r="G175" s="571"/>
      <c r="H175" s="571"/>
      <c r="I175" s="571"/>
      <c r="J175" s="571" t="s">
        <v>1515</v>
      </c>
      <c r="K175" s="571">
        <f>B175/25.4</f>
        <v>0.39370078740157483</v>
      </c>
      <c r="L175" s="571" t="s">
        <v>1517</v>
      </c>
      <c r="M175" s="571"/>
      <c r="N175" s="571"/>
      <c r="O175" s="571"/>
      <c r="P175" s="571"/>
      <c r="Q175" s="571"/>
      <c r="R175" s="571"/>
      <c r="S175" s="5"/>
    </row>
    <row r="176" spans="1:19" x14ac:dyDescent="0.2">
      <c r="A176" s="571" t="s">
        <v>1518</v>
      </c>
      <c r="B176" s="571">
        <f>200*2+'Main Dimensions Calcs'!D64</f>
        <v>520</v>
      </c>
      <c r="C176" s="571" t="s">
        <v>1519</v>
      </c>
      <c r="D176" s="571"/>
      <c r="E176" s="571"/>
      <c r="F176" s="571"/>
      <c r="G176" s="571"/>
      <c r="H176" s="571"/>
      <c r="I176" s="571"/>
      <c r="J176" s="571" t="s">
        <v>1518</v>
      </c>
      <c r="K176" s="571">
        <f>B176/25.4</f>
        <v>20.472440944881892</v>
      </c>
      <c r="L176" s="571" t="s">
        <v>1520</v>
      </c>
      <c r="M176" s="571"/>
      <c r="N176" s="571"/>
      <c r="O176" s="571"/>
      <c r="P176" s="571"/>
      <c r="Q176" s="571"/>
      <c r="R176" s="571"/>
      <c r="S176" s="5"/>
    </row>
    <row r="177" spans="1:19" ht="14.25" customHeight="1" x14ac:dyDescent="0.2">
      <c r="A177" s="571" t="s">
        <v>1507</v>
      </c>
      <c r="B177" s="571">
        <f>B176*B175/SQRT(2)</f>
        <v>3676.9552621700468</v>
      </c>
      <c r="C177" s="1018" t="s">
        <v>1521</v>
      </c>
      <c r="D177" s="809"/>
      <c r="E177" s="809"/>
      <c r="F177" s="809"/>
      <c r="G177" s="809"/>
      <c r="H177" s="809"/>
      <c r="I177" s="809"/>
      <c r="J177" s="571" t="s">
        <v>1507</v>
      </c>
      <c r="K177" s="571">
        <f>B177/(25.4*25.4)</f>
        <v>5.6992920549476827</v>
      </c>
      <c r="L177" s="1018" t="s">
        <v>1522</v>
      </c>
      <c r="M177" s="809"/>
      <c r="N177" s="809"/>
      <c r="O177" s="809"/>
      <c r="P177" s="809"/>
      <c r="Q177" s="809"/>
      <c r="R177" s="809"/>
      <c r="S177" s="5"/>
    </row>
    <row r="178" spans="1:19" ht="14.25" customHeight="1" x14ac:dyDescent="0.2">
      <c r="A178" s="571" t="s">
        <v>1048</v>
      </c>
      <c r="B178" s="571">
        <v>0.45</v>
      </c>
      <c r="C178" s="571" t="s">
        <v>1523</v>
      </c>
      <c r="D178" s="582"/>
      <c r="E178" s="582"/>
      <c r="F178" s="582"/>
      <c r="G178" s="582"/>
      <c r="H178" s="582"/>
      <c r="I178" s="582"/>
      <c r="J178" s="571" t="s">
        <v>1048</v>
      </c>
      <c r="K178" s="571">
        <v>0.45</v>
      </c>
      <c r="L178" s="571" t="s">
        <v>1523</v>
      </c>
      <c r="M178" s="582"/>
      <c r="N178" s="582"/>
      <c r="O178" s="582"/>
      <c r="P178" s="582"/>
      <c r="Q178" s="582"/>
      <c r="R178" s="582"/>
      <c r="S178" s="5"/>
    </row>
    <row r="179" spans="1:19" x14ac:dyDescent="0.2">
      <c r="A179" s="571" t="s">
        <v>930</v>
      </c>
      <c r="B179" s="571">
        <f>$B$162/(B177*$B$178)</f>
        <v>200.54081119613519</v>
      </c>
      <c r="C179" s="576"/>
      <c r="D179" s="576"/>
      <c r="E179" s="576"/>
      <c r="F179" s="576"/>
      <c r="G179" s="576"/>
      <c r="H179" s="576"/>
      <c r="I179" s="576"/>
      <c r="J179" s="571" t="s">
        <v>930</v>
      </c>
      <c r="K179" s="571">
        <f>B179*145</f>
        <v>29078.417623439604</v>
      </c>
      <c r="L179" s="576"/>
      <c r="M179" s="576"/>
      <c r="N179" s="576"/>
      <c r="O179" s="576"/>
      <c r="P179" s="576"/>
      <c r="Q179" s="576"/>
      <c r="R179" s="576"/>
      <c r="S179" s="5"/>
    </row>
    <row r="180" spans="1:19" x14ac:dyDescent="0.2">
      <c r="A180" s="571"/>
      <c r="B180" s="571"/>
      <c r="C180" s="571"/>
      <c r="D180" s="571"/>
      <c r="E180" s="571"/>
      <c r="F180" s="571"/>
      <c r="G180" s="571"/>
      <c r="H180" s="571"/>
      <c r="I180" s="571"/>
      <c r="J180" s="571"/>
      <c r="K180" s="571"/>
      <c r="L180" s="571"/>
      <c r="M180" s="571"/>
      <c r="N180" s="571"/>
      <c r="O180" s="571"/>
      <c r="P180" s="571"/>
      <c r="Q180" s="571"/>
      <c r="R180" s="571"/>
      <c r="S180" s="5"/>
    </row>
    <row r="181" spans="1:19" x14ac:dyDescent="0.2">
      <c r="A181" s="571" t="s">
        <v>1136</v>
      </c>
      <c r="B181" s="571">
        <f>$B$120/B179</f>
        <v>0.92826762885851954</v>
      </c>
      <c r="C181" s="571" t="str">
        <f>IF(B181&gt;1,"OK","ERROR")</f>
        <v>ERROR</v>
      </c>
      <c r="D181" s="571"/>
      <c r="E181" s="571"/>
      <c r="F181" s="571"/>
      <c r="G181" s="571"/>
      <c r="H181" s="571"/>
      <c r="I181" s="571"/>
      <c r="J181" s="571" t="s">
        <v>1136</v>
      </c>
      <c r="K181" s="587">
        <f>B181</f>
        <v>0.92826762885851954</v>
      </c>
      <c r="L181" s="588" t="str">
        <f>IF(K181&gt;1,"OK","ERROR")</f>
        <v>ERROR</v>
      </c>
      <c r="M181" s="571"/>
      <c r="N181" s="571"/>
      <c r="O181" s="571"/>
      <c r="P181" s="571"/>
      <c r="Q181" s="571"/>
      <c r="R181" s="571"/>
      <c r="S181" s="5"/>
    </row>
    <row r="182" spans="1:19" x14ac:dyDescent="0.2">
      <c r="A182" s="571"/>
      <c r="B182" s="571"/>
      <c r="C182" s="571"/>
      <c r="D182" s="571"/>
      <c r="E182" s="583"/>
      <c r="F182" s="571"/>
      <c r="G182" s="571"/>
      <c r="H182" s="583"/>
      <c r="I182" s="571"/>
      <c r="J182" s="571"/>
      <c r="K182" s="571"/>
      <c r="L182" s="571"/>
      <c r="M182" s="571"/>
      <c r="N182" s="583"/>
      <c r="O182" s="571"/>
      <c r="P182" s="571"/>
      <c r="Q182" s="583"/>
      <c r="R182" s="571"/>
      <c r="S182" s="5"/>
    </row>
    <row r="183" spans="1:19" x14ac:dyDescent="0.2">
      <c r="A183" s="571"/>
      <c r="B183" s="571"/>
      <c r="C183" s="576"/>
      <c r="D183" s="576"/>
      <c r="E183" s="571"/>
      <c r="F183" s="571"/>
      <c r="G183" s="571"/>
      <c r="H183" s="571"/>
      <c r="I183" s="571"/>
      <c r="J183" s="571"/>
      <c r="K183" s="571"/>
      <c r="L183" s="576"/>
      <c r="M183" s="576"/>
      <c r="N183" s="571"/>
      <c r="O183" s="571"/>
      <c r="P183" s="571"/>
      <c r="Q183" s="571"/>
      <c r="R183" s="571"/>
      <c r="S183" s="5"/>
    </row>
    <row r="184" spans="1:19" x14ac:dyDescent="0.2">
      <c r="A184" s="571"/>
      <c r="B184" s="571"/>
      <c r="C184" s="576"/>
      <c r="D184" s="576"/>
      <c r="E184" s="571"/>
      <c r="F184" s="571"/>
      <c r="G184" s="571"/>
      <c r="H184" s="571"/>
      <c r="I184" s="571"/>
      <c r="J184" s="571"/>
      <c r="K184" s="571"/>
      <c r="L184" s="576"/>
      <c r="M184" s="576"/>
      <c r="N184" s="571"/>
      <c r="O184" s="571"/>
      <c r="P184" s="571"/>
      <c r="Q184" s="571"/>
      <c r="R184" s="571"/>
      <c r="S184" s="5"/>
    </row>
    <row r="185" spans="1:19" ht="13.5" customHeight="1" x14ac:dyDescent="0.25">
      <c r="A185" s="581" t="s">
        <v>1514</v>
      </c>
      <c r="B185" s="581"/>
      <c r="C185" s="581"/>
      <c r="D185" s="581"/>
      <c r="E185" s="581"/>
      <c r="F185" s="581"/>
      <c r="G185" s="581"/>
      <c r="H185" s="581"/>
      <c r="I185" s="581"/>
      <c r="J185" s="1019" t="s">
        <v>1470</v>
      </c>
      <c r="K185" s="809"/>
      <c r="L185" s="809"/>
      <c r="M185" s="809"/>
      <c r="N185" s="809"/>
      <c r="O185" s="809"/>
      <c r="P185" s="809"/>
      <c r="Q185" s="809"/>
      <c r="R185" s="809"/>
      <c r="S185" s="5"/>
    </row>
    <row r="186" spans="1:19" x14ac:dyDescent="0.2">
      <c r="A186" s="571"/>
      <c r="B186" s="571"/>
      <c r="C186" s="571"/>
      <c r="D186" s="571"/>
      <c r="E186" s="571"/>
      <c r="F186" s="571"/>
      <c r="G186" s="571"/>
      <c r="H186" s="571"/>
      <c r="I186" s="571"/>
      <c r="J186" s="571"/>
      <c r="K186" s="571"/>
      <c r="L186" s="571"/>
      <c r="M186" s="571"/>
      <c r="N186" s="571"/>
      <c r="O186" s="571"/>
      <c r="P186" s="571"/>
      <c r="Q186" s="571"/>
      <c r="R186" s="571"/>
      <c r="S186" s="5"/>
    </row>
    <row r="187" spans="1:19" x14ac:dyDescent="0.2">
      <c r="A187" s="571" t="s">
        <v>1515</v>
      </c>
      <c r="B187" s="571">
        <v>10</v>
      </c>
      <c r="C187" s="571" t="s">
        <v>1516</v>
      </c>
      <c r="D187" s="571"/>
      <c r="E187" s="571"/>
      <c r="F187" s="571"/>
      <c r="G187" s="571"/>
      <c r="H187" s="571"/>
      <c r="I187" s="571"/>
      <c r="J187" s="571" t="s">
        <v>1515</v>
      </c>
      <c r="K187" s="571">
        <f>B187/25.4</f>
        <v>0.39370078740157483</v>
      </c>
      <c r="L187" s="571" t="s">
        <v>1517</v>
      </c>
      <c r="M187" s="571"/>
      <c r="N187" s="571"/>
      <c r="O187" s="571"/>
      <c r="P187" s="571"/>
      <c r="Q187" s="571"/>
      <c r="R187" s="571"/>
      <c r="S187" s="5"/>
    </row>
    <row r="188" spans="1:19" x14ac:dyDescent="0.2">
      <c r="A188" s="571" t="s">
        <v>1518</v>
      </c>
      <c r="B188" s="571">
        <f>250*4</f>
        <v>1000</v>
      </c>
      <c r="C188" s="571" t="s">
        <v>1519</v>
      </c>
      <c r="D188" s="571"/>
      <c r="E188" s="571"/>
      <c r="F188" s="571"/>
      <c r="G188" s="571"/>
      <c r="H188" s="571"/>
      <c r="I188" s="571"/>
      <c r="J188" s="571" t="s">
        <v>1518</v>
      </c>
      <c r="K188" s="571">
        <f>B188/25.4</f>
        <v>39.370078740157481</v>
      </c>
      <c r="L188" s="571" t="s">
        <v>1520</v>
      </c>
      <c r="M188" s="571"/>
      <c r="N188" s="571"/>
      <c r="O188" s="571"/>
      <c r="P188" s="571"/>
      <c r="Q188" s="571"/>
      <c r="R188" s="571"/>
      <c r="S188" s="5"/>
    </row>
    <row r="189" spans="1:19" ht="12.75" customHeight="1" x14ac:dyDescent="0.2">
      <c r="A189" s="571" t="s">
        <v>1507</v>
      </c>
      <c r="B189" s="571">
        <f>B188*B187/SQRT(2)</f>
        <v>7071.0678118654751</v>
      </c>
      <c r="C189" s="1018" t="s">
        <v>1521</v>
      </c>
      <c r="D189" s="809"/>
      <c r="E189" s="809"/>
      <c r="F189" s="809"/>
      <c r="G189" s="809"/>
      <c r="H189" s="809"/>
      <c r="I189" s="809"/>
      <c r="J189" s="571" t="s">
        <v>1507</v>
      </c>
      <c r="K189" s="571">
        <f>B189/(25.4*25.4)</f>
        <v>10.960177028745544</v>
      </c>
      <c r="L189" s="1018" t="s">
        <v>1522</v>
      </c>
      <c r="M189" s="809"/>
      <c r="N189" s="809"/>
      <c r="O189" s="809"/>
      <c r="P189" s="809"/>
      <c r="Q189" s="809"/>
      <c r="R189" s="809"/>
      <c r="S189" s="5"/>
    </row>
    <row r="190" spans="1:19" x14ac:dyDescent="0.2">
      <c r="A190" s="571" t="s">
        <v>1048</v>
      </c>
      <c r="B190" s="571">
        <v>0.45</v>
      </c>
      <c r="C190" s="571" t="s">
        <v>1523</v>
      </c>
      <c r="D190" s="582"/>
      <c r="E190" s="582"/>
      <c r="F190" s="582"/>
      <c r="G190" s="582"/>
      <c r="H190" s="582"/>
      <c r="I190" s="582"/>
      <c r="J190" s="571" t="s">
        <v>1048</v>
      </c>
      <c r="K190" s="571">
        <v>0.45</v>
      </c>
      <c r="L190" s="571" t="s">
        <v>1523</v>
      </c>
      <c r="M190" s="582"/>
      <c r="N190" s="582"/>
      <c r="O190" s="582"/>
      <c r="P190" s="582"/>
      <c r="Q190" s="582"/>
      <c r="R190" s="582"/>
      <c r="S190" s="5"/>
    </row>
    <row r="191" spans="1:19" x14ac:dyDescent="0.2">
      <c r="A191" s="571" t="s">
        <v>930</v>
      </c>
      <c r="B191" s="571">
        <f>$B$162/(B189*$B$178)</f>
        <v>104.28122182199031</v>
      </c>
      <c r="C191" s="576"/>
      <c r="D191" s="576"/>
      <c r="E191" s="576"/>
      <c r="F191" s="576"/>
      <c r="G191" s="576"/>
      <c r="H191" s="576"/>
      <c r="I191" s="576"/>
      <c r="J191" s="571" t="s">
        <v>930</v>
      </c>
      <c r="K191" s="571">
        <f>B191*145</f>
        <v>15120.777164188596</v>
      </c>
      <c r="L191" s="576"/>
      <c r="M191" s="576"/>
      <c r="N191" s="576"/>
      <c r="O191" s="576"/>
      <c r="P191" s="576"/>
      <c r="Q191" s="576"/>
      <c r="R191" s="576"/>
      <c r="S191" s="5"/>
    </row>
    <row r="192" spans="1:19" x14ac:dyDescent="0.2">
      <c r="A192" s="571"/>
      <c r="B192" s="571"/>
      <c r="C192" s="571"/>
      <c r="D192" s="571"/>
      <c r="E192" s="571"/>
      <c r="F192" s="571"/>
      <c r="G192" s="571"/>
      <c r="H192" s="571"/>
      <c r="I192" s="571"/>
      <c r="J192" s="571"/>
      <c r="K192" s="571"/>
      <c r="L192" s="571"/>
      <c r="M192" s="571"/>
      <c r="N192" s="571"/>
      <c r="O192" s="571"/>
      <c r="P192" s="571"/>
      <c r="Q192" s="571"/>
      <c r="R192" s="571"/>
      <c r="S192" s="5"/>
    </row>
    <row r="193" spans="1:19" x14ac:dyDescent="0.2">
      <c r="A193" s="571" t="s">
        <v>1136</v>
      </c>
      <c r="B193" s="571">
        <f>$B$120/B191</f>
        <v>1.7851300554971528</v>
      </c>
      <c r="C193" s="571" t="str">
        <f>IF(B193&gt;1,"OK","ERROR")</f>
        <v>OK</v>
      </c>
      <c r="D193" s="571"/>
      <c r="E193" s="571"/>
      <c r="F193" s="571"/>
      <c r="G193" s="571"/>
      <c r="H193" s="571"/>
      <c r="I193" s="571"/>
      <c r="J193" s="571" t="s">
        <v>1136</v>
      </c>
      <c r="K193" s="587">
        <f>B193</f>
        <v>1.7851300554971528</v>
      </c>
      <c r="L193" s="588" t="str">
        <f>IF(K193&gt;1,"OK","ERROR")</f>
        <v>OK</v>
      </c>
      <c r="M193" s="571"/>
      <c r="N193" s="571"/>
      <c r="O193" s="571"/>
      <c r="P193" s="571"/>
      <c r="Q193" s="571"/>
      <c r="R193" s="571"/>
      <c r="S193" s="5"/>
    </row>
    <row r="194" spans="1:19" x14ac:dyDescent="0.2">
      <c r="A194" s="1005"/>
      <c r="B194" s="809"/>
      <c r="C194" s="809"/>
      <c r="D194" s="809"/>
      <c r="E194" s="1007"/>
      <c r="F194" s="809"/>
      <c r="G194" s="571"/>
      <c r="H194" s="571"/>
      <c r="I194" s="571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x14ac:dyDescent="0.2">
      <c r="A195" s="1005"/>
      <c r="B195" s="809"/>
      <c r="C195" s="809"/>
      <c r="D195" s="809"/>
      <c r="E195" s="1007"/>
      <c r="F195" s="809"/>
      <c r="G195" s="571"/>
      <c r="H195" s="571"/>
      <c r="I195" s="571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x14ac:dyDescent="0.2">
      <c r="A196" s="1005"/>
      <c r="B196" s="809"/>
      <c r="C196" s="809"/>
      <c r="D196" s="809"/>
      <c r="E196" s="1006"/>
      <c r="F196" s="809"/>
      <c r="G196" s="571"/>
      <c r="H196" s="571"/>
      <c r="I196" s="571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x14ac:dyDescent="0.2">
      <c r="A197" s="1005"/>
      <c r="B197" s="809"/>
      <c r="C197" s="809"/>
      <c r="D197" s="809"/>
      <c r="E197" s="1006"/>
      <c r="F197" s="809"/>
      <c r="G197" s="571"/>
      <c r="H197" s="571"/>
      <c r="I197" s="571"/>
      <c r="J197" s="366" t="s">
        <v>1524</v>
      </c>
      <c r="K197" s="433"/>
      <c r="L197" s="433"/>
      <c r="M197" s="433"/>
      <c r="N197" s="433"/>
      <c r="O197" s="433"/>
      <c r="P197" s="433"/>
      <c r="Q197" s="5"/>
      <c r="R197" s="5"/>
      <c r="S197" s="5"/>
    </row>
    <row r="198" spans="1:19" x14ac:dyDescent="0.2">
      <c r="A198" s="572"/>
      <c r="B198" s="1007"/>
      <c r="C198" s="809"/>
      <c r="D198" s="571"/>
      <c r="E198" s="1008"/>
      <c r="F198" s="809"/>
      <c r="G198" s="571"/>
      <c r="H198" s="571"/>
      <c r="I198" s="571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x14ac:dyDescent="0.2">
      <c r="A199" s="571"/>
      <c r="B199" s="571"/>
      <c r="C199" s="571"/>
      <c r="D199" s="571"/>
      <c r="E199" s="571"/>
      <c r="F199" s="571"/>
      <c r="G199" s="571"/>
      <c r="H199" s="571"/>
      <c r="I199" s="571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ht="18" customHeight="1" x14ac:dyDescent="0.25">
      <c r="A200" s="1019"/>
      <c r="B200" s="809"/>
      <c r="C200" s="809"/>
      <c r="D200" s="809"/>
      <c r="E200" s="809"/>
      <c r="F200" s="809"/>
      <c r="G200" s="809"/>
      <c r="H200" s="809"/>
      <c r="I200" s="809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x14ac:dyDescent="0.2">
      <c r="A201" s="571"/>
      <c r="B201" s="571"/>
      <c r="C201" s="571"/>
      <c r="D201" s="571"/>
      <c r="E201" s="571"/>
      <c r="F201" s="571"/>
      <c r="G201" s="571"/>
      <c r="H201" s="571"/>
      <c r="I201" s="571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x14ac:dyDescent="0.2">
      <c r="A202" s="1005"/>
      <c r="B202" s="809"/>
      <c r="C202" s="809"/>
      <c r="D202" s="809"/>
      <c r="E202" s="1020"/>
      <c r="F202" s="809"/>
      <c r="G202" s="571"/>
      <c r="H202" s="571"/>
      <c r="I202" s="571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x14ac:dyDescent="0.2">
      <c r="A203" s="1005"/>
      <c r="B203" s="809"/>
      <c r="C203" s="809"/>
      <c r="D203" s="809"/>
      <c r="E203" s="1007"/>
      <c r="F203" s="809"/>
      <c r="G203" s="571"/>
      <c r="H203" s="571"/>
      <c r="I203" s="571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x14ac:dyDescent="0.2">
      <c r="A204" s="1005"/>
      <c r="B204" s="809"/>
      <c r="C204" s="809"/>
      <c r="D204" s="809"/>
      <c r="E204" s="1007"/>
      <c r="F204" s="809"/>
      <c r="G204" s="571"/>
      <c r="H204" s="571"/>
      <c r="I204" s="571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x14ac:dyDescent="0.2">
      <c r="A205" s="1005"/>
      <c r="B205" s="809"/>
      <c r="C205" s="809"/>
      <c r="D205" s="809"/>
      <c r="E205" s="1006"/>
      <c r="F205" s="809"/>
      <c r="G205" s="571"/>
      <c r="H205" s="571"/>
      <c r="I205" s="571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x14ac:dyDescent="0.2">
      <c r="A206" s="1005"/>
      <c r="B206" s="809"/>
      <c r="C206" s="809"/>
      <c r="D206" s="809"/>
      <c r="E206" s="1006"/>
      <c r="F206" s="809"/>
      <c r="G206" s="571"/>
      <c r="H206" s="571"/>
      <c r="I206" s="571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ht="18" customHeight="1" x14ac:dyDescent="0.25">
      <c r="A207" s="574"/>
      <c r="B207" s="1007"/>
      <c r="C207" s="809"/>
      <c r="D207" s="571"/>
      <c r="E207" s="1008"/>
      <c r="F207" s="809"/>
      <c r="G207" s="571"/>
      <c r="H207" s="571"/>
      <c r="I207" s="571"/>
      <c r="J207" s="5"/>
      <c r="K207" s="5"/>
      <c r="L207" s="5"/>
      <c r="M207" s="5"/>
      <c r="N207" s="5"/>
      <c r="O207" s="5"/>
      <c r="P207" s="5"/>
      <c r="Q207" s="5"/>
      <c r="R207" s="5"/>
      <c r="S207" s="5"/>
    </row>
  </sheetData>
  <mergeCells count="292">
    <mergeCell ref="J185:R185"/>
    <mergeCell ref="J46:M46"/>
    <mergeCell ref="N46:O46"/>
    <mergeCell ref="A78:D78"/>
    <mergeCell ref="E78:F78"/>
    <mergeCell ref="A87:D87"/>
    <mergeCell ref="E87:F87"/>
    <mergeCell ref="A140:D140"/>
    <mergeCell ref="E140:F140"/>
    <mergeCell ref="A149:D149"/>
    <mergeCell ref="E149:F149"/>
    <mergeCell ref="J149:M149"/>
    <mergeCell ref="N149:O149"/>
    <mergeCell ref="J140:M140"/>
    <mergeCell ref="N140:O140"/>
    <mergeCell ref="J87:M87"/>
    <mergeCell ref="N87:O87"/>
    <mergeCell ref="J78:M78"/>
    <mergeCell ref="N78:O78"/>
    <mergeCell ref="K137:L137"/>
    <mergeCell ref="M137:N137"/>
    <mergeCell ref="J138:M138"/>
    <mergeCell ref="N138:O138"/>
    <mergeCell ref="J139:M139"/>
    <mergeCell ref="N139:O139"/>
    <mergeCell ref="J151:M151"/>
    <mergeCell ref="N151:O151"/>
    <mergeCell ref="K152:L152"/>
    <mergeCell ref="N152:O152"/>
    <mergeCell ref="K143:L143"/>
    <mergeCell ref="N143:O143"/>
    <mergeCell ref="J145:R145"/>
    <mergeCell ref="J147:M147"/>
    <mergeCell ref="N147:O147"/>
    <mergeCell ref="J148:M148"/>
    <mergeCell ref="N148:O148"/>
    <mergeCell ref="J150:M150"/>
    <mergeCell ref="N150:O150"/>
    <mergeCell ref="J141:M141"/>
    <mergeCell ref="N141:O141"/>
    <mergeCell ref="J142:M142"/>
    <mergeCell ref="N142:O142"/>
    <mergeCell ref="J105:L105"/>
    <mergeCell ref="M105:N105"/>
    <mergeCell ref="O105:P105"/>
    <mergeCell ref="L120:Q120"/>
    <mergeCell ref="J122:R122"/>
    <mergeCell ref="L124:R125"/>
    <mergeCell ref="K135:L135"/>
    <mergeCell ref="M135:N135"/>
    <mergeCell ref="J136:R136"/>
    <mergeCell ref="K90:L90"/>
    <mergeCell ref="N90:O90"/>
    <mergeCell ref="J101:L103"/>
    <mergeCell ref="M101:R101"/>
    <mergeCell ref="M102:R102"/>
    <mergeCell ref="M103:R103"/>
    <mergeCell ref="J104:L104"/>
    <mergeCell ref="M104:N104"/>
    <mergeCell ref="O104:P104"/>
    <mergeCell ref="J83:R83"/>
    <mergeCell ref="J85:M85"/>
    <mergeCell ref="N85:O85"/>
    <mergeCell ref="J86:M86"/>
    <mergeCell ref="N86:O86"/>
    <mergeCell ref="J88:M88"/>
    <mergeCell ref="N88:O88"/>
    <mergeCell ref="J89:M89"/>
    <mergeCell ref="N89:O89"/>
    <mergeCell ref="J76:M76"/>
    <mergeCell ref="N76:O76"/>
    <mergeCell ref="J77:M77"/>
    <mergeCell ref="N77:O77"/>
    <mergeCell ref="J79:M79"/>
    <mergeCell ref="N79:O79"/>
    <mergeCell ref="J80:M80"/>
    <mergeCell ref="N80:O80"/>
    <mergeCell ref="K81:L81"/>
    <mergeCell ref="N81:O81"/>
    <mergeCell ref="J56:L56"/>
    <mergeCell ref="M56:N56"/>
    <mergeCell ref="O56:P56"/>
    <mergeCell ref="J57:L57"/>
    <mergeCell ref="M57:N57"/>
    <mergeCell ref="O57:P57"/>
    <mergeCell ref="L62:R63"/>
    <mergeCell ref="J74:R74"/>
    <mergeCell ref="K75:L75"/>
    <mergeCell ref="M75:N75"/>
    <mergeCell ref="J47:M47"/>
    <mergeCell ref="N47:O47"/>
    <mergeCell ref="J48:M48"/>
    <mergeCell ref="N48:O48"/>
    <mergeCell ref="K49:L49"/>
    <mergeCell ref="N49:O49"/>
    <mergeCell ref="J53:L55"/>
    <mergeCell ref="M53:R53"/>
    <mergeCell ref="M54:R54"/>
    <mergeCell ref="M55:R55"/>
    <mergeCell ref="J39:M39"/>
    <mergeCell ref="N39:O39"/>
    <mergeCell ref="K40:L40"/>
    <mergeCell ref="N40:O40"/>
    <mergeCell ref="J42:R42"/>
    <mergeCell ref="J44:M44"/>
    <mergeCell ref="N44:O44"/>
    <mergeCell ref="J45:M45"/>
    <mergeCell ref="N45:O45"/>
    <mergeCell ref="L23:R24"/>
    <mergeCell ref="J33:R33"/>
    <mergeCell ref="K34:L34"/>
    <mergeCell ref="M34:N34"/>
    <mergeCell ref="J35:M35"/>
    <mergeCell ref="N35:O35"/>
    <mergeCell ref="J36:M36"/>
    <mergeCell ref="N36:O36"/>
    <mergeCell ref="J38:M38"/>
    <mergeCell ref="N38:O38"/>
    <mergeCell ref="J37:M37"/>
    <mergeCell ref="N37:O37"/>
    <mergeCell ref="J1:L3"/>
    <mergeCell ref="M1:R1"/>
    <mergeCell ref="M2:R2"/>
    <mergeCell ref="M3:R3"/>
    <mergeCell ref="J4:L4"/>
    <mergeCell ref="M4:N4"/>
    <mergeCell ref="O4:P4"/>
    <mergeCell ref="J5:L5"/>
    <mergeCell ref="M5:N5"/>
    <mergeCell ref="O5:P5"/>
    <mergeCell ref="A57:C57"/>
    <mergeCell ref="D57:E57"/>
    <mergeCell ref="F57:G57"/>
    <mergeCell ref="A53:C55"/>
    <mergeCell ref="D53:I53"/>
    <mergeCell ref="D54:I54"/>
    <mergeCell ref="A47:D47"/>
    <mergeCell ref="E47:F47"/>
    <mergeCell ref="A48:D48"/>
    <mergeCell ref="E48:F48"/>
    <mergeCell ref="D55:I55"/>
    <mergeCell ref="A56:C56"/>
    <mergeCell ref="D56:E56"/>
    <mergeCell ref="F56:G56"/>
    <mergeCell ref="A35:D35"/>
    <mergeCell ref="E35:F35"/>
    <mergeCell ref="A36:D36"/>
    <mergeCell ref="E36:F36"/>
    <mergeCell ref="A38:D38"/>
    <mergeCell ref="B49:C49"/>
    <mergeCell ref="E49:F49"/>
    <mergeCell ref="A42:I42"/>
    <mergeCell ref="A44:D44"/>
    <mergeCell ref="E44:F44"/>
    <mergeCell ref="A45:D45"/>
    <mergeCell ref="E45:F45"/>
    <mergeCell ref="A37:D37"/>
    <mergeCell ref="A46:D46"/>
    <mergeCell ref="E37:F37"/>
    <mergeCell ref="E46:F46"/>
    <mergeCell ref="A79:D79"/>
    <mergeCell ref="E79:F79"/>
    <mergeCell ref="A80:D80"/>
    <mergeCell ref="E80:F80"/>
    <mergeCell ref="A77:D77"/>
    <mergeCell ref="A1:C3"/>
    <mergeCell ref="D1:I1"/>
    <mergeCell ref="D2:I2"/>
    <mergeCell ref="D3:I3"/>
    <mergeCell ref="C23:I24"/>
    <mergeCell ref="E38:F38"/>
    <mergeCell ref="A39:D39"/>
    <mergeCell ref="E39:F39"/>
    <mergeCell ref="B40:C40"/>
    <mergeCell ref="E40:F40"/>
    <mergeCell ref="A4:C4"/>
    <mergeCell ref="A5:C5"/>
    <mergeCell ref="D4:E4"/>
    <mergeCell ref="F4:G4"/>
    <mergeCell ref="D5:E5"/>
    <mergeCell ref="F5:G5"/>
    <mergeCell ref="A33:I33"/>
    <mergeCell ref="B34:C34"/>
    <mergeCell ref="D34:E34"/>
    <mergeCell ref="B75:C75"/>
    <mergeCell ref="D75:E75"/>
    <mergeCell ref="A76:D76"/>
    <mergeCell ref="E76:F76"/>
    <mergeCell ref="C62:I63"/>
    <mergeCell ref="A74:I74"/>
    <mergeCell ref="B90:C90"/>
    <mergeCell ref="E90:F90"/>
    <mergeCell ref="A101:C103"/>
    <mergeCell ref="D101:I101"/>
    <mergeCell ref="D102:I102"/>
    <mergeCell ref="D103:I103"/>
    <mergeCell ref="A86:D86"/>
    <mergeCell ref="E86:F86"/>
    <mergeCell ref="A88:D88"/>
    <mergeCell ref="E88:F88"/>
    <mergeCell ref="A89:D89"/>
    <mergeCell ref="E89:F89"/>
    <mergeCell ref="B81:C81"/>
    <mergeCell ref="E81:F81"/>
    <mergeCell ref="A83:I83"/>
    <mergeCell ref="A85:D85"/>
    <mergeCell ref="E85:F85"/>
    <mergeCell ref="E77:F77"/>
    <mergeCell ref="A122:I122"/>
    <mergeCell ref="C124:I125"/>
    <mergeCell ref="B135:C135"/>
    <mergeCell ref="D135:E135"/>
    <mergeCell ref="A136:I136"/>
    <mergeCell ref="A104:C104"/>
    <mergeCell ref="D104:E104"/>
    <mergeCell ref="F104:G104"/>
    <mergeCell ref="A105:C105"/>
    <mergeCell ref="D105:E105"/>
    <mergeCell ref="F105:G105"/>
    <mergeCell ref="C120:H120"/>
    <mergeCell ref="A141:D141"/>
    <mergeCell ref="E141:F141"/>
    <mergeCell ref="A142:D142"/>
    <mergeCell ref="E142:F142"/>
    <mergeCell ref="B143:C143"/>
    <mergeCell ref="E143:F143"/>
    <mergeCell ref="B137:C137"/>
    <mergeCell ref="D137:E137"/>
    <mergeCell ref="A138:D138"/>
    <mergeCell ref="E138:F138"/>
    <mergeCell ref="A139:D139"/>
    <mergeCell ref="E139:F139"/>
    <mergeCell ref="A150:D150"/>
    <mergeCell ref="E150:F150"/>
    <mergeCell ref="A151:D151"/>
    <mergeCell ref="E151:F151"/>
    <mergeCell ref="B152:C152"/>
    <mergeCell ref="E152:F152"/>
    <mergeCell ref="A145:I145"/>
    <mergeCell ref="A147:D147"/>
    <mergeCell ref="E147:F147"/>
    <mergeCell ref="A148:D148"/>
    <mergeCell ref="E148:F148"/>
    <mergeCell ref="C171:H171"/>
    <mergeCell ref="A153:C155"/>
    <mergeCell ref="D153:I153"/>
    <mergeCell ref="D154:I154"/>
    <mergeCell ref="D155:I155"/>
    <mergeCell ref="A156:C156"/>
    <mergeCell ref="D156:E156"/>
    <mergeCell ref="F156:G156"/>
    <mergeCell ref="A157:C157"/>
    <mergeCell ref="D157:E157"/>
    <mergeCell ref="F157:G157"/>
    <mergeCell ref="A204:D204"/>
    <mergeCell ref="E204:F204"/>
    <mergeCell ref="A205:D205"/>
    <mergeCell ref="E205:F205"/>
    <mergeCell ref="A194:D194"/>
    <mergeCell ref="E194:F194"/>
    <mergeCell ref="A195:D195"/>
    <mergeCell ref="E195:F195"/>
    <mergeCell ref="A196:D196"/>
    <mergeCell ref="E196:F196"/>
    <mergeCell ref="A197:D197"/>
    <mergeCell ref="E197:F197"/>
    <mergeCell ref="B198:C198"/>
    <mergeCell ref="E198:F198"/>
    <mergeCell ref="A206:D206"/>
    <mergeCell ref="E206:F206"/>
    <mergeCell ref="B207:C207"/>
    <mergeCell ref="E207:F207"/>
    <mergeCell ref="J153:L155"/>
    <mergeCell ref="M153:R153"/>
    <mergeCell ref="M154:R154"/>
    <mergeCell ref="M155:R155"/>
    <mergeCell ref="J156:L156"/>
    <mergeCell ref="M156:N156"/>
    <mergeCell ref="O156:P156"/>
    <mergeCell ref="J157:L157"/>
    <mergeCell ref="M157:N157"/>
    <mergeCell ref="O157:P157"/>
    <mergeCell ref="C177:I177"/>
    <mergeCell ref="C189:I189"/>
    <mergeCell ref="L171:Q171"/>
    <mergeCell ref="L177:R177"/>
    <mergeCell ref="L189:R189"/>
    <mergeCell ref="A200:I200"/>
    <mergeCell ref="A202:D202"/>
    <mergeCell ref="E202:F202"/>
    <mergeCell ref="A203:D203"/>
    <mergeCell ref="E203:F203"/>
  </mergeCells>
  <pageMargins left="0.74803149606299213" right="0.74803149606299213" top="0.98425196850393704" bottom="0.98425196850393704" header="0" footer="0"/>
  <pageSetup paperSize="9" scale="96" fitToHeight="0" orientation="portrait"/>
  <rowBreaks count="5" manualBreakCount="5">
    <brk id="52" max="8" man="1"/>
    <brk id="52" min="9" max="17" man="1"/>
    <brk id="100" max="8" man="1"/>
    <brk id="100" min="9" max="17" man="1"/>
    <brk id="152" min="9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0">
    <tabColor rgb="FF00B050"/>
    <pageSetUpPr fitToPage="1"/>
  </sheetPr>
  <dimension ref="A1:R181"/>
  <sheetViews>
    <sheetView topLeftCell="H1" workbookViewId="0">
      <selection sqref="A1:C3"/>
    </sheetView>
    <sheetView tabSelected="1" topLeftCell="A154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10.4257812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9" max="9" width="12" customWidth="1"/>
    <col min="10" max="10" width="10.42578125" customWidth="1"/>
    <col min="12" max="12" width="12.85546875" customWidth="1"/>
    <col min="13" max="14" width="12.42578125" customWidth="1"/>
    <col min="15" max="15" width="10.5703125" customWidth="1"/>
    <col min="16" max="17" width="13" customWidth="1"/>
    <col min="18" max="18" width="8.140625" customWidth="1"/>
  </cols>
  <sheetData>
    <row r="1" spans="1:18" ht="17.25" customHeight="1" thickTop="1" thickBot="1" x14ac:dyDescent="0.3">
      <c r="A1" s="1024"/>
      <c r="B1" s="823"/>
      <c r="C1" s="823"/>
      <c r="D1" s="913" t="str">
        <f>'Front Page'!$A$13</f>
        <v>Mechanical  Calculations</v>
      </c>
      <c r="E1" s="842"/>
      <c r="F1" s="842"/>
      <c r="G1" s="842"/>
      <c r="H1" s="843"/>
      <c r="I1" s="1024"/>
      <c r="J1" s="823"/>
      <c r="K1" s="823"/>
      <c r="L1" s="913" t="str">
        <f>'Front Page'!$A$13</f>
        <v>Mechanical  Calculations</v>
      </c>
      <c r="M1" s="842"/>
      <c r="N1" s="842"/>
      <c r="O1" s="842"/>
      <c r="P1" s="843"/>
      <c r="Q1" s="5"/>
      <c r="R1" s="5"/>
    </row>
    <row r="2" spans="1:18" ht="16.5" customHeight="1" thickBot="1" x14ac:dyDescent="0.3">
      <c r="A2" s="825"/>
      <c r="B2" s="809"/>
      <c r="C2" s="809"/>
      <c r="D2" s="839"/>
      <c r="E2" s="831"/>
      <c r="F2" s="831"/>
      <c r="G2" s="831"/>
      <c r="H2" s="832"/>
      <c r="I2" s="825"/>
      <c r="J2" s="809"/>
      <c r="K2" s="809"/>
      <c r="L2" s="839"/>
      <c r="M2" s="831"/>
      <c r="N2" s="831"/>
      <c r="O2" s="831"/>
      <c r="P2" s="832"/>
      <c r="Q2" s="5"/>
      <c r="R2" s="5"/>
    </row>
    <row r="3" spans="1:18" ht="16.5" customHeight="1" thickBot="1" x14ac:dyDescent="0.3">
      <c r="A3" s="827"/>
      <c r="B3" s="828"/>
      <c r="C3" s="828"/>
      <c r="D3" s="839" t="s">
        <v>1525</v>
      </c>
      <c r="E3" s="831"/>
      <c r="F3" s="831"/>
      <c r="G3" s="831"/>
      <c r="H3" s="832"/>
      <c r="I3" s="827"/>
      <c r="J3" s="828"/>
      <c r="K3" s="828"/>
      <c r="L3" s="839" t="s">
        <v>1525</v>
      </c>
      <c r="M3" s="831"/>
      <c r="N3" s="831"/>
      <c r="O3" s="831"/>
      <c r="P3" s="832"/>
      <c r="Q3" s="5"/>
      <c r="R3" s="5"/>
    </row>
    <row r="4" spans="1:18" ht="15.75" customHeight="1" thickBot="1" x14ac:dyDescent="0.3">
      <c r="A4" s="974"/>
      <c r="B4" s="848"/>
      <c r="C4" s="848"/>
      <c r="D4" s="452" t="str">
        <f>'Front Page'!$D$4</f>
        <v>Doc Nº</v>
      </c>
      <c r="E4" s="846"/>
      <c r="F4" s="832"/>
      <c r="G4" s="846"/>
      <c r="H4" s="832"/>
      <c r="I4" s="974"/>
      <c r="J4" s="848"/>
      <c r="K4" s="848"/>
      <c r="L4" s="452" t="str">
        <f>'Front Page'!$D$4</f>
        <v>Doc Nº</v>
      </c>
      <c r="M4" s="846"/>
      <c r="N4" s="832"/>
      <c r="O4" s="846"/>
      <c r="P4" s="832"/>
      <c r="Q4" s="5"/>
      <c r="R4" s="5"/>
    </row>
    <row r="5" spans="1:18" ht="15.75" customHeight="1" thickBot="1" x14ac:dyDescent="0.3">
      <c r="A5" s="970"/>
      <c r="B5" s="851"/>
      <c r="C5" s="851"/>
      <c r="D5" s="386" t="str">
        <f>'Front Page'!$D$5</f>
        <v>Project</v>
      </c>
      <c r="E5" s="899"/>
      <c r="F5" s="835"/>
      <c r="G5" s="131" t="s">
        <v>5</v>
      </c>
      <c r="H5" s="132"/>
      <c r="I5" s="970"/>
      <c r="J5" s="851"/>
      <c r="K5" s="851"/>
      <c r="L5" s="386" t="str">
        <f>'Front Page'!$D$5</f>
        <v>Project</v>
      </c>
      <c r="M5" s="899"/>
      <c r="N5" s="835"/>
      <c r="O5" s="131" t="s">
        <v>5</v>
      </c>
      <c r="P5" s="427"/>
      <c r="Q5" s="5"/>
      <c r="R5" s="5"/>
    </row>
    <row r="6" spans="1:18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</row>
    <row r="7" spans="1:18" ht="18" customHeight="1" x14ac:dyDescent="0.25">
      <c r="A7" s="134" t="s">
        <v>1526</v>
      </c>
      <c r="B7" s="5"/>
      <c r="C7" s="5"/>
      <c r="D7" s="5"/>
      <c r="E7" s="65"/>
      <c r="F7" s="65"/>
      <c r="G7" s="142"/>
      <c r="H7" s="117"/>
      <c r="I7" s="134" t="s">
        <v>1526</v>
      </c>
      <c r="J7" s="5"/>
      <c r="K7" s="5"/>
      <c r="L7" s="5"/>
      <c r="M7" s="65"/>
      <c r="N7" s="65"/>
      <c r="O7" s="142"/>
      <c r="P7" s="117"/>
      <c r="Q7" s="5"/>
      <c r="R7" s="5"/>
    </row>
    <row r="8" spans="1:18" ht="12" customHeight="1" x14ac:dyDescent="0.2">
      <c r="A8" s="118"/>
      <c r="B8" s="5"/>
      <c r="C8" s="5"/>
      <c r="D8" s="5"/>
      <c r="E8" s="65"/>
      <c r="F8" s="65"/>
      <c r="G8" s="142"/>
      <c r="H8" s="117"/>
      <c r="I8" s="118"/>
      <c r="J8" s="5"/>
      <c r="K8" s="5"/>
      <c r="L8" s="5"/>
      <c r="M8" s="65"/>
      <c r="N8" s="65"/>
      <c r="O8" s="142"/>
      <c r="P8" s="117"/>
      <c r="Q8" s="5"/>
      <c r="R8" s="5"/>
    </row>
    <row r="9" spans="1:18" ht="12" customHeight="1" x14ac:dyDescent="0.2">
      <c r="A9" s="5" t="s">
        <v>197</v>
      </c>
      <c r="B9" s="387">
        <f>'Weight Calculations'!H71</f>
        <v>37483.613497718368</v>
      </c>
      <c r="C9" s="901" t="s">
        <v>884</v>
      </c>
      <c r="D9" s="809"/>
      <c r="E9" s="809"/>
      <c r="F9" s="809"/>
      <c r="G9" s="809"/>
      <c r="H9" s="809"/>
      <c r="I9" s="5" t="s">
        <v>197</v>
      </c>
      <c r="J9" s="387">
        <f>B9*2.205</f>
        <v>82651.367762469003</v>
      </c>
      <c r="K9" s="901" t="s">
        <v>885</v>
      </c>
      <c r="L9" s="809"/>
      <c r="M9" s="809"/>
      <c r="N9" s="809"/>
      <c r="O9" s="809"/>
      <c r="P9" s="809"/>
      <c r="Q9" s="5"/>
      <c r="R9" s="5"/>
    </row>
    <row r="10" spans="1:18" ht="15" customHeight="1" x14ac:dyDescent="0.2">
      <c r="A10" s="5"/>
      <c r="B10" s="5"/>
      <c r="C10" s="809"/>
      <c r="D10" s="809"/>
      <c r="E10" s="809"/>
      <c r="F10" s="809"/>
      <c r="G10" s="809"/>
      <c r="H10" s="809"/>
      <c r="I10" s="5"/>
      <c r="J10" s="5"/>
      <c r="K10" s="809"/>
      <c r="L10" s="809"/>
      <c r="M10" s="809"/>
      <c r="N10" s="809"/>
      <c r="O10" s="809"/>
      <c r="P10" s="809"/>
      <c r="Q10" s="5"/>
      <c r="R10" s="5"/>
    </row>
    <row r="11" spans="1:18" x14ac:dyDescent="0.2">
      <c r="A11" s="5" t="s">
        <v>886</v>
      </c>
      <c r="B11" s="389">
        <f>'Main Dimensions Calcs'!D18</f>
        <v>8000</v>
      </c>
      <c r="C11" s="64" t="s">
        <v>887</v>
      </c>
      <c r="D11" s="5"/>
      <c r="E11" s="65"/>
      <c r="F11" s="65"/>
      <c r="G11" s="142"/>
      <c r="H11" s="117"/>
      <c r="I11" s="5" t="s">
        <v>886</v>
      </c>
      <c r="J11" s="389">
        <f>B11*0.062428</f>
        <v>499.42399999999998</v>
      </c>
      <c r="K11" s="64" t="s">
        <v>888</v>
      </c>
      <c r="L11" s="5"/>
      <c r="M11" s="65"/>
      <c r="N11" s="65"/>
      <c r="O11" s="142"/>
      <c r="P11" s="117"/>
      <c r="Q11" s="5"/>
      <c r="R11" s="5"/>
    </row>
    <row r="12" spans="1:18" x14ac:dyDescent="0.2">
      <c r="A12" s="5"/>
      <c r="B12" s="5"/>
      <c r="C12" s="5"/>
      <c r="D12" s="5"/>
      <c r="E12" s="65"/>
      <c r="F12" s="65"/>
      <c r="G12" s="142"/>
      <c r="H12" s="117"/>
      <c r="I12" s="5"/>
      <c r="J12" s="5"/>
      <c r="K12" s="5"/>
      <c r="L12" s="5"/>
      <c r="M12" s="65"/>
      <c r="N12" s="65"/>
      <c r="O12" s="142"/>
      <c r="P12" s="117"/>
      <c r="Q12" s="5"/>
      <c r="R12" s="5"/>
    </row>
    <row r="13" spans="1:18" x14ac:dyDescent="0.2">
      <c r="A13" s="5" t="s">
        <v>889</v>
      </c>
      <c r="B13" s="389">
        <f>'Main Dimensions Calcs'!D20</f>
        <v>91.3</v>
      </c>
      <c r="C13" s="64" t="s">
        <v>1527</v>
      </c>
      <c r="D13" s="5"/>
      <c r="E13" s="65"/>
      <c r="F13" s="65"/>
      <c r="G13" s="142"/>
      <c r="H13" s="117"/>
      <c r="I13" s="5" t="s">
        <v>889</v>
      </c>
      <c r="J13" s="447">
        <f>B13*0.062428</f>
        <v>5.6996763999999995</v>
      </c>
      <c r="K13" s="64" t="s">
        <v>1528</v>
      </c>
      <c r="L13" s="5"/>
      <c r="M13" s="65"/>
      <c r="N13" s="65"/>
      <c r="O13" s="142"/>
      <c r="P13" s="117"/>
      <c r="Q13" s="5"/>
      <c r="R13" s="5"/>
    </row>
    <row r="14" spans="1:18" ht="17.25" customHeight="1" x14ac:dyDescent="0.2">
      <c r="A14" s="5" t="s">
        <v>892</v>
      </c>
      <c r="B14" s="590">
        <f>'Design Conditions'!J13</f>
        <v>5.5899999999999998E-2</v>
      </c>
      <c r="C14" s="64" t="s">
        <v>893</v>
      </c>
      <c r="D14" s="5"/>
      <c r="E14" s="5"/>
      <c r="F14" s="5"/>
      <c r="G14" s="5"/>
      <c r="H14" s="5"/>
      <c r="I14" s="5" t="s">
        <v>892</v>
      </c>
      <c r="J14" s="591">
        <f>B14*14.5</f>
        <v>0.81054999999999999</v>
      </c>
      <c r="K14" s="64" t="s">
        <v>894</v>
      </c>
      <c r="L14" s="5"/>
      <c r="M14" s="5"/>
      <c r="N14" s="5"/>
      <c r="O14" s="64" t="s">
        <v>1529</v>
      </c>
      <c r="P14" s="5"/>
      <c r="Q14" s="5"/>
      <c r="R14" s="5"/>
    </row>
    <row r="15" spans="1:18" x14ac:dyDescent="0.2">
      <c r="A15" s="5" t="s">
        <v>895</v>
      </c>
      <c r="B15" s="428">
        <v>2.3930000000000002E-3</v>
      </c>
      <c r="C15" s="64" t="s">
        <v>896</v>
      </c>
      <c r="D15" s="5"/>
      <c r="E15" s="5"/>
      <c r="F15" s="5"/>
      <c r="G15" s="5"/>
      <c r="H15" s="5"/>
      <c r="I15" s="5" t="s">
        <v>895</v>
      </c>
      <c r="J15" s="391">
        <f>B15*14.5</f>
        <v>3.46985E-2</v>
      </c>
      <c r="K15" s="64" t="s">
        <v>897</v>
      </c>
      <c r="L15" s="5"/>
      <c r="M15" s="5"/>
      <c r="N15" s="5"/>
      <c r="O15" s="5"/>
      <c r="P15" s="5"/>
      <c r="Q15" s="5"/>
      <c r="R15" s="5"/>
    </row>
    <row r="16" spans="1:18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31.5" customHeight="1" x14ac:dyDescent="0.2">
      <c r="A17" s="5" t="s">
        <v>898</v>
      </c>
      <c r="B17" s="389">
        <f>'Allowable Stresses'!G17</f>
        <v>104.8</v>
      </c>
      <c r="C17" s="901" t="s">
        <v>1530</v>
      </c>
      <c r="D17" s="809"/>
      <c r="E17" s="809"/>
      <c r="F17" s="809"/>
      <c r="G17" s="809"/>
      <c r="H17" s="809"/>
      <c r="I17" s="5" t="s">
        <v>898</v>
      </c>
      <c r="J17" s="389">
        <f>B17*145.04</f>
        <v>15200.191999999999</v>
      </c>
      <c r="K17" s="901" t="s">
        <v>1530</v>
      </c>
      <c r="L17" s="809"/>
      <c r="M17" s="809"/>
      <c r="N17" s="809"/>
      <c r="O17" s="809"/>
      <c r="P17" s="809"/>
      <c r="Q17" s="5"/>
      <c r="R17" s="5"/>
    </row>
    <row r="18" spans="1:18" ht="13.5" customHeight="1" x14ac:dyDescent="0.2">
      <c r="A18" s="5" t="s">
        <v>904</v>
      </c>
      <c r="B18" s="216">
        <v>0.7</v>
      </c>
      <c r="C18" s="901" t="s">
        <v>905</v>
      </c>
      <c r="D18" s="809"/>
      <c r="E18" s="809"/>
      <c r="F18" s="809"/>
      <c r="G18" s="809"/>
      <c r="H18" s="809"/>
      <c r="I18" s="5" t="s">
        <v>904</v>
      </c>
      <c r="J18" s="216">
        <v>0.7</v>
      </c>
      <c r="K18" s="901" t="s">
        <v>905</v>
      </c>
      <c r="L18" s="809"/>
      <c r="M18" s="809"/>
      <c r="N18" s="809"/>
      <c r="O18" s="809"/>
      <c r="P18" s="809"/>
      <c r="Q18" s="5"/>
      <c r="R18" s="5"/>
    </row>
    <row r="19" spans="1:18" ht="15.75" customHeight="1" x14ac:dyDescent="0.2">
      <c r="A19" s="5" t="s">
        <v>906</v>
      </c>
      <c r="B19" s="216">
        <v>0.7</v>
      </c>
      <c r="C19" s="901" t="s">
        <v>907</v>
      </c>
      <c r="D19" s="809"/>
      <c r="E19" s="809"/>
      <c r="F19" s="809"/>
      <c r="G19" s="809"/>
      <c r="H19" s="809"/>
      <c r="I19" s="5" t="s">
        <v>906</v>
      </c>
      <c r="J19" s="216">
        <v>0.7</v>
      </c>
      <c r="K19" s="901" t="s">
        <v>907</v>
      </c>
      <c r="L19" s="809"/>
      <c r="M19" s="809"/>
      <c r="N19" s="809"/>
      <c r="O19" s="809"/>
      <c r="P19" s="809"/>
      <c r="Q19" s="5"/>
      <c r="R19" s="5"/>
    </row>
    <row r="20" spans="1:18" x14ac:dyDescent="0.2">
      <c r="A20" s="5" t="s">
        <v>908</v>
      </c>
      <c r="B20" s="389">
        <f>'Main Dimensions Calcs'!D32/1000</f>
        <v>23.4</v>
      </c>
      <c r="C20" s="64" t="s">
        <v>909</v>
      </c>
      <c r="D20" s="5"/>
      <c r="E20" s="5"/>
      <c r="F20" s="5"/>
      <c r="G20" s="5"/>
      <c r="H20" s="5"/>
      <c r="I20" s="5" t="s">
        <v>908</v>
      </c>
      <c r="J20" s="447">
        <f>B20*1000/25.4</f>
        <v>921.25984251968509</v>
      </c>
      <c r="K20" s="64" t="s">
        <v>910</v>
      </c>
      <c r="L20" s="5"/>
      <c r="M20" s="5"/>
      <c r="N20" s="5"/>
      <c r="O20" s="5"/>
      <c r="P20" s="5"/>
      <c r="Q20" s="5"/>
      <c r="R20" s="5"/>
    </row>
    <row r="21" spans="1:18" x14ac:dyDescent="0.2">
      <c r="A21" s="5" t="s">
        <v>911</v>
      </c>
      <c r="B21" s="391">
        <f>(+'Inner Tank stiffeners 1'!B51+'Main Dimensions Calcs'!E82)/1000</f>
        <v>6.9997138888888886</v>
      </c>
      <c r="C21" s="64" t="s">
        <v>1531</v>
      </c>
      <c r="D21" s="5"/>
      <c r="E21" s="5"/>
      <c r="F21" s="5"/>
      <c r="G21" s="5"/>
      <c r="H21" s="5"/>
      <c r="I21" s="5" t="s">
        <v>911</v>
      </c>
      <c r="J21" s="447">
        <f>B21*1000/25.4</f>
        <v>275.57928696412949</v>
      </c>
      <c r="K21" s="64" t="s">
        <v>1532</v>
      </c>
      <c r="L21" s="5"/>
      <c r="M21" s="5"/>
      <c r="N21" s="5"/>
      <c r="O21" s="5"/>
      <c r="P21" s="5"/>
      <c r="Q21" s="5"/>
      <c r="R21" s="5"/>
    </row>
    <row r="22" spans="1:18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36" customHeight="1" x14ac:dyDescent="0.25">
      <c r="A23" s="983" t="s">
        <v>1026</v>
      </c>
      <c r="B23" s="809"/>
      <c r="C23" s="809"/>
      <c r="D23" s="809"/>
      <c r="E23" s="809"/>
      <c r="F23" s="809"/>
      <c r="G23" s="809"/>
      <c r="H23" s="809"/>
      <c r="I23" s="983" t="s">
        <v>1026</v>
      </c>
      <c r="J23" s="809"/>
      <c r="K23" s="809"/>
      <c r="L23" s="809"/>
      <c r="M23" s="809"/>
      <c r="N23" s="809"/>
      <c r="O23" s="809"/>
      <c r="P23" s="809"/>
      <c r="Q23" s="5"/>
      <c r="R23" s="5"/>
    </row>
    <row r="24" spans="1:18" ht="13.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51" customHeight="1" x14ac:dyDescent="0.2">
      <c r="A25" s="218" t="s">
        <v>256</v>
      </c>
      <c r="B25" s="218" t="s">
        <v>915</v>
      </c>
      <c r="C25" s="218" t="s">
        <v>255</v>
      </c>
      <c r="D25" s="218" t="s">
        <v>1533</v>
      </c>
      <c r="E25" s="218" t="s">
        <v>918</v>
      </c>
      <c r="F25" s="218" t="s">
        <v>1534</v>
      </c>
      <c r="G25" s="5"/>
      <c r="H25" s="5"/>
      <c r="I25" s="218" t="s">
        <v>256</v>
      </c>
      <c r="J25" s="218" t="s">
        <v>915</v>
      </c>
      <c r="K25" s="218" t="s">
        <v>255</v>
      </c>
      <c r="L25" s="218" t="s">
        <v>1533</v>
      </c>
      <c r="M25" s="218" t="s">
        <v>918</v>
      </c>
      <c r="N25" s="218" t="s">
        <v>1534</v>
      </c>
      <c r="O25" s="5"/>
      <c r="P25" s="5"/>
      <c r="Q25" s="5"/>
      <c r="R25" s="5"/>
    </row>
    <row r="26" spans="1:18" ht="51" customHeight="1" x14ac:dyDescent="0.2">
      <c r="A26" s="14" t="s">
        <v>253</v>
      </c>
      <c r="B26" s="218" t="s">
        <v>920</v>
      </c>
      <c r="C26" s="218" t="s">
        <v>921</v>
      </c>
      <c r="D26" s="218" t="s">
        <v>1535</v>
      </c>
      <c r="E26" s="218" t="s">
        <v>923</v>
      </c>
      <c r="F26" s="218" t="s">
        <v>924</v>
      </c>
      <c r="G26" s="5"/>
      <c r="H26" s="5"/>
      <c r="I26" s="14" t="s">
        <v>253</v>
      </c>
      <c r="J26" s="218" t="s">
        <v>920</v>
      </c>
      <c r="K26" s="218" t="s">
        <v>921</v>
      </c>
      <c r="L26" s="218" t="s">
        <v>1535</v>
      </c>
      <c r="M26" s="218" t="s">
        <v>923</v>
      </c>
      <c r="N26" s="218" t="s">
        <v>924</v>
      </c>
      <c r="O26" s="5"/>
      <c r="P26" s="5"/>
      <c r="Q26" s="5"/>
      <c r="R26" s="5"/>
    </row>
    <row r="27" spans="1:18" x14ac:dyDescent="0.2">
      <c r="A27" s="5"/>
      <c r="B27" s="14" t="s">
        <v>247</v>
      </c>
      <c r="C27" s="14" t="s">
        <v>247</v>
      </c>
      <c r="D27" s="14" t="s">
        <v>408</v>
      </c>
      <c r="E27" s="14" t="s">
        <v>447</v>
      </c>
      <c r="F27" s="14" t="s">
        <v>925</v>
      </c>
      <c r="G27" s="5"/>
      <c r="H27" s="5"/>
      <c r="I27" s="5"/>
      <c r="J27" s="170" t="s">
        <v>248</v>
      </c>
      <c r="K27" s="170" t="s">
        <v>248</v>
      </c>
      <c r="L27" s="170" t="s">
        <v>248</v>
      </c>
      <c r="M27" s="170" t="s">
        <v>821</v>
      </c>
      <c r="N27" s="170" t="s">
        <v>926</v>
      </c>
      <c r="O27" s="5"/>
      <c r="P27" s="5"/>
      <c r="Q27" s="5"/>
      <c r="R27" s="5"/>
    </row>
    <row r="28" spans="1:18" x14ac:dyDescent="0.2">
      <c r="A28" s="14">
        <v>1</v>
      </c>
      <c r="B28" s="399">
        <f>'Main Dimensions Calcs'!H25</f>
        <v>6</v>
      </c>
      <c r="C28" s="399">
        <f>'Main Dimensions Calcs'!I25</f>
        <v>2229</v>
      </c>
      <c r="D28" s="400">
        <f>B21</f>
        <v>6.9997138888888886</v>
      </c>
      <c r="E28" s="260">
        <f>$B$20*PI()*$B$11*(SUMPRODUCT(B28:B35,C28:C35))/1000000+B9</f>
        <v>68944.939817371851</v>
      </c>
      <c r="F28" s="401">
        <f t="shared" ref="F28:F37" si="0">$B$14*0.1+$B$13*D28*0.0000098-$B$15*0.1</f>
        <v>1.1613624004944445E-2</v>
      </c>
      <c r="G28" s="5"/>
      <c r="H28" s="5"/>
      <c r="I28" s="14">
        <v>1</v>
      </c>
      <c r="J28" s="488">
        <f t="shared" ref="J28:J37" si="1">B28/25.4</f>
        <v>0.23622047244094491</v>
      </c>
      <c r="K28" s="488">
        <f t="shared" ref="K28:K37" si="2">C28/25.4</f>
        <v>87.755905511811022</v>
      </c>
      <c r="L28" s="400">
        <f t="shared" ref="L28:L37" si="3">D28*1000/25.4</f>
        <v>275.57928696412949</v>
      </c>
      <c r="M28" s="260">
        <f t="shared" ref="M28:M37" si="4">E28*2.205</f>
        <v>152023.59229730495</v>
      </c>
      <c r="N28" s="401">
        <f t="shared" ref="N28:N37" si="5">F28*145.04</f>
        <v>1.6844400256771423</v>
      </c>
      <c r="O28" s="5"/>
      <c r="P28" s="5"/>
      <c r="Q28" s="5"/>
      <c r="R28" s="5"/>
    </row>
    <row r="29" spans="1:18" x14ac:dyDescent="0.2">
      <c r="A29" s="14">
        <v>2</v>
      </c>
      <c r="B29" s="399">
        <f>'Main Dimensions Calcs'!H26</f>
        <v>6</v>
      </c>
      <c r="C29" s="399">
        <f>'Main Dimensions Calcs'!I26</f>
        <v>2229</v>
      </c>
      <c r="D29" s="400">
        <f t="shared" ref="D29:D37" si="6">IF(D28-C28/1000&gt;0,D28-C28/1000,0)</f>
        <v>4.7707138888888885</v>
      </c>
      <c r="E29" s="260">
        <f t="shared" ref="E29:E37" si="7">E28-B28*C28*$B$20*PI()*$B$11/1000000</f>
        <v>61079.60823745848</v>
      </c>
      <c r="F29" s="401">
        <f t="shared" si="0"/>
        <v>9.6192485449444441E-3</v>
      </c>
      <c r="G29" s="5"/>
      <c r="H29" s="5"/>
      <c r="I29" s="14">
        <v>2</v>
      </c>
      <c r="J29" s="488">
        <f t="shared" si="1"/>
        <v>0.23622047244094491</v>
      </c>
      <c r="K29" s="488">
        <f t="shared" si="2"/>
        <v>87.755905511811022</v>
      </c>
      <c r="L29" s="400">
        <f t="shared" si="3"/>
        <v>187.82338145231844</v>
      </c>
      <c r="M29" s="260">
        <f t="shared" si="4"/>
        <v>134680.53616359594</v>
      </c>
      <c r="N29" s="401">
        <f t="shared" si="5"/>
        <v>1.395175808958742</v>
      </c>
      <c r="O29" s="5"/>
      <c r="P29" s="5"/>
      <c r="Q29" s="5"/>
      <c r="R29" s="5"/>
    </row>
    <row r="30" spans="1:18" x14ac:dyDescent="0.2">
      <c r="A30" s="14">
        <v>3</v>
      </c>
      <c r="B30" s="399">
        <f>'Main Dimensions Calcs'!H27</f>
        <v>6</v>
      </c>
      <c r="C30" s="399">
        <f>'Main Dimensions Calcs'!I27</f>
        <v>2229</v>
      </c>
      <c r="D30" s="400">
        <f t="shared" si="6"/>
        <v>2.5417138888888884</v>
      </c>
      <c r="E30" s="260">
        <f t="shared" si="7"/>
        <v>53214.27665754511</v>
      </c>
      <c r="F30" s="401">
        <f t="shared" si="0"/>
        <v>7.6248730849444446E-3</v>
      </c>
      <c r="G30" s="5"/>
      <c r="H30" s="5"/>
      <c r="I30" s="14">
        <v>3</v>
      </c>
      <c r="J30" s="488">
        <f t="shared" si="1"/>
        <v>0.23622047244094491</v>
      </c>
      <c r="K30" s="488">
        <f t="shared" si="2"/>
        <v>87.755905511811022</v>
      </c>
      <c r="L30" s="400">
        <f t="shared" si="3"/>
        <v>100.06747594050742</v>
      </c>
      <c r="M30" s="260">
        <f t="shared" si="4"/>
        <v>117337.48002988697</v>
      </c>
      <c r="N30" s="401">
        <f t="shared" si="5"/>
        <v>1.1059115922403422</v>
      </c>
      <c r="O30" s="5"/>
      <c r="P30" s="5"/>
      <c r="Q30" s="5"/>
      <c r="R30" s="5"/>
    </row>
    <row r="31" spans="1:18" ht="27.75" customHeight="1" x14ac:dyDescent="0.2">
      <c r="A31" s="14">
        <v>4</v>
      </c>
      <c r="B31" s="399">
        <f>'Main Dimensions Calcs'!H28</f>
        <v>6</v>
      </c>
      <c r="C31" s="399">
        <f>'Main Dimensions Calcs'!I28</f>
        <v>2229</v>
      </c>
      <c r="D31" s="400">
        <f t="shared" si="6"/>
        <v>0.31271388888888829</v>
      </c>
      <c r="E31" s="260">
        <f t="shared" si="7"/>
        <v>45348.945077631739</v>
      </c>
      <c r="F31" s="401">
        <f t="shared" si="0"/>
        <v>5.6304976249444451E-3</v>
      </c>
      <c r="G31" s="5"/>
      <c r="H31" s="5"/>
      <c r="I31" s="14">
        <v>4</v>
      </c>
      <c r="J31" s="488">
        <f t="shared" si="1"/>
        <v>0.23622047244094491</v>
      </c>
      <c r="K31" s="488">
        <f t="shared" si="2"/>
        <v>87.755905511811022</v>
      </c>
      <c r="L31" s="400">
        <f t="shared" si="3"/>
        <v>12.31157042869639</v>
      </c>
      <c r="M31" s="260">
        <f t="shared" si="4"/>
        <v>99994.423896177992</v>
      </c>
      <c r="N31" s="401">
        <f t="shared" si="5"/>
        <v>0.81664737552194222</v>
      </c>
      <c r="O31" s="5"/>
      <c r="P31" s="5"/>
      <c r="Q31" s="5"/>
      <c r="R31" s="5"/>
    </row>
    <row r="32" spans="1:18" x14ac:dyDescent="0.2">
      <c r="A32" s="14">
        <v>5</v>
      </c>
      <c r="B32" s="399">
        <f>'Main Dimensions Calcs'!H29</f>
        <v>0</v>
      </c>
      <c r="C32" s="399">
        <f>'Main Dimensions Calcs'!I29</f>
        <v>0</v>
      </c>
      <c r="D32" s="400">
        <f t="shared" si="6"/>
        <v>0</v>
      </c>
      <c r="E32" s="260">
        <f t="shared" si="7"/>
        <v>37483.613497718368</v>
      </c>
      <c r="F32" s="401">
        <f t="shared" si="0"/>
        <v>5.3506999999999999E-3</v>
      </c>
      <c r="G32" s="5"/>
      <c r="H32" s="5"/>
      <c r="I32" s="14">
        <v>5</v>
      </c>
      <c r="J32" s="488">
        <f t="shared" si="1"/>
        <v>0</v>
      </c>
      <c r="K32" s="488">
        <f t="shared" si="2"/>
        <v>0</v>
      </c>
      <c r="L32" s="400">
        <f t="shared" si="3"/>
        <v>0</v>
      </c>
      <c r="M32" s="260">
        <f t="shared" si="4"/>
        <v>82651.367762469003</v>
      </c>
      <c r="N32" s="401">
        <f t="shared" si="5"/>
        <v>0.77606552799999995</v>
      </c>
      <c r="O32" s="5"/>
      <c r="P32" s="5"/>
      <c r="Q32" s="5"/>
      <c r="R32" s="5"/>
    </row>
    <row r="33" spans="1:18" x14ac:dyDescent="0.2">
      <c r="A33" s="14">
        <v>6</v>
      </c>
      <c r="B33" s="399">
        <f>'Main Dimensions Calcs'!H30</f>
        <v>0</v>
      </c>
      <c r="C33" s="399">
        <f>'Main Dimensions Calcs'!I30</f>
        <v>0</v>
      </c>
      <c r="D33" s="400">
        <f t="shared" si="6"/>
        <v>0</v>
      </c>
      <c r="E33" s="260">
        <f t="shared" si="7"/>
        <v>37483.613497718368</v>
      </c>
      <c r="F33" s="401">
        <f t="shared" si="0"/>
        <v>5.3506999999999999E-3</v>
      </c>
      <c r="G33" s="5"/>
      <c r="H33" s="5"/>
      <c r="I33" s="14">
        <v>6</v>
      </c>
      <c r="J33" s="488">
        <f t="shared" si="1"/>
        <v>0</v>
      </c>
      <c r="K33" s="488">
        <f t="shared" si="2"/>
        <v>0</v>
      </c>
      <c r="L33" s="400">
        <f t="shared" si="3"/>
        <v>0</v>
      </c>
      <c r="M33" s="260">
        <f t="shared" si="4"/>
        <v>82651.367762469003</v>
      </c>
      <c r="N33" s="401">
        <f t="shared" si="5"/>
        <v>0.77606552799999995</v>
      </c>
      <c r="O33" s="5"/>
      <c r="P33" s="5"/>
      <c r="Q33" s="5"/>
      <c r="R33" s="5"/>
    </row>
    <row r="34" spans="1:18" x14ac:dyDescent="0.2">
      <c r="A34" s="14">
        <v>7</v>
      </c>
      <c r="B34" s="399">
        <f>'Main Dimensions Calcs'!H31</f>
        <v>0</v>
      </c>
      <c r="C34" s="399">
        <f>'Main Dimensions Calcs'!I31</f>
        <v>0</v>
      </c>
      <c r="D34" s="400">
        <f t="shared" si="6"/>
        <v>0</v>
      </c>
      <c r="E34" s="260">
        <f t="shared" si="7"/>
        <v>37483.613497718368</v>
      </c>
      <c r="F34" s="401">
        <f t="shared" si="0"/>
        <v>5.3506999999999999E-3</v>
      </c>
      <c r="G34" s="5"/>
      <c r="H34" s="5"/>
      <c r="I34" s="14">
        <v>7</v>
      </c>
      <c r="J34" s="488">
        <f t="shared" si="1"/>
        <v>0</v>
      </c>
      <c r="K34" s="488">
        <f t="shared" si="2"/>
        <v>0</v>
      </c>
      <c r="L34" s="400">
        <f t="shared" si="3"/>
        <v>0</v>
      </c>
      <c r="M34" s="260">
        <f t="shared" si="4"/>
        <v>82651.367762469003</v>
      </c>
      <c r="N34" s="401">
        <f t="shared" si="5"/>
        <v>0.77606552799999995</v>
      </c>
      <c r="O34" s="5"/>
      <c r="P34" s="5"/>
      <c r="Q34" s="5"/>
      <c r="R34" s="5"/>
    </row>
    <row r="35" spans="1:18" x14ac:dyDescent="0.2">
      <c r="A35" s="14">
        <v>8</v>
      </c>
      <c r="B35" s="399">
        <f>'Main Dimensions Calcs'!H32</f>
        <v>0</v>
      </c>
      <c r="C35" s="399">
        <f>'Main Dimensions Calcs'!I32</f>
        <v>0</v>
      </c>
      <c r="D35" s="400">
        <f t="shared" si="6"/>
        <v>0</v>
      </c>
      <c r="E35" s="260">
        <f t="shared" si="7"/>
        <v>37483.613497718368</v>
      </c>
      <c r="F35" s="401">
        <f t="shared" si="0"/>
        <v>5.3506999999999999E-3</v>
      </c>
      <c r="G35" s="5"/>
      <c r="H35" s="5"/>
      <c r="I35" s="14">
        <v>8</v>
      </c>
      <c r="J35" s="488">
        <f t="shared" si="1"/>
        <v>0</v>
      </c>
      <c r="K35" s="488">
        <f t="shared" si="2"/>
        <v>0</v>
      </c>
      <c r="L35" s="400">
        <f t="shared" si="3"/>
        <v>0</v>
      </c>
      <c r="M35" s="260">
        <f t="shared" si="4"/>
        <v>82651.367762469003</v>
      </c>
      <c r="N35" s="401">
        <f t="shared" si="5"/>
        <v>0.77606552799999995</v>
      </c>
      <c r="O35" s="5"/>
      <c r="P35" s="5"/>
      <c r="Q35" s="5"/>
      <c r="R35" s="5"/>
    </row>
    <row r="36" spans="1:18" x14ac:dyDescent="0.2">
      <c r="A36" s="14">
        <v>9</v>
      </c>
      <c r="B36" s="399">
        <f>'Main Dimensions Calcs'!H33</f>
        <v>0</v>
      </c>
      <c r="C36" s="399">
        <f>'Main Dimensions Calcs'!I33</f>
        <v>0</v>
      </c>
      <c r="D36" s="400">
        <f t="shared" si="6"/>
        <v>0</v>
      </c>
      <c r="E36" s="260">
        <f t="shared" si="7"/>
        <v>37483.613497718368</v>
      </c>
      <c r="F36" s="401">
        <f t="shared" si="0"/>
        <v>5.3506999999999999E-3</v>
      </c>
      <c r="G36" s="5"/>
      <c r="H36" s="5"/>
      <c r="I36" s="14">
        <v>9</v>
      </c>
      <c r="J36" s="488">
        <f t="shared" si="1"/>
        <v>0</v>
      </c>
      <c r="K36" s="488">
        <f t="shared" si="2"/>
        <v>0</v>
      </c>
      <c r="L36" s="400">
        <f t="shared" si="3"/>
        <v>0</v>
      </c>
      <c r="M36" s="260">
        <f t="shared" si="4"/>
        <v>82651.367762469003</v>
      </c>
      <c r="N36" s="401">
        <f t="shared" si="5"/>
        <v>0.77606552799999995</v>
      </c>
      <c r="O36" s="5"/>
      <c r="P36" s="5"/>
      <c r="Q36" s="5"/>
      <c r="R36" s="5"/>
    </row>
    <row r="37" spans="1:18" x14ac:dyDescent="0.2">
      <c r="A37" s="14">
        <v>10</v>
      </c>
      <c r="B37" s="399">
        <f>'Main Dimensions Calcs'!H34</f>
        <v>0</v>
      </c>
      <c r="C37" s="399">
        <f>'Main Dimensions Calcs'!I34</f>
        <v>0</v>
      </c>
      <c r="D37" s="400">
        <f t="shared" si="6"/>
        <v>0</v>
      </c>
      <c r="E37" s="260">
        <f t="shared" si="7"/>
        <v>37483.613497718368</v>
      </c>
      <c r="F37" s="401">
        <f t="shared" si="0"/>
        <v>5.3506999999999999E-3</v>
      </c>
      <c r="G37" s="5"/>
      <c r="H37" s="5"/>
      <c r="I37" s="14">
        <v>10</v>
      </c>
      <c r="J37" s="488">
        <f t="shared" si="1"/>
        <v>0</v>
      </c>
      <c r="K37" s="488">
        <f t="shared" si="2"/>
        <v>0</v>
      </c>
      <c r="L37" s="400">
        <f t="shared" si="3"/>
        <v>0</v>
      </c>
      <c r="M37" s="260">
        <f t="shared" si="4"/>
        <v>82651.367762469003</v>
      </c>
      <c r="N37" s="401">
        <f t="shared" si="5"/>
        <v>0.77606552799999995</v>
      </c>
      <c r="O37" s="5"/>
      <c r="P37" s="5"/>
      <c r="Q37" s="5"/>
      <c r="R37" s="5"/>
    </row>
    <row r="38" spans="1:18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3.5" customHeight="1" thickBo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9.5" customHeight="1" thickTop="1" thickBot="1" x14ac:dyDescent="0.3">
      <c r="A42" s="988"/>
      <c r="B42" s="823"/>
      <c r="C42" s="871"/>
      <c r="D42" s="934" t="str">
        <f>'Front Page'!$A$13</f>
        <v>Mechanical  Calculations</v>
      </c>
      <c r="E42" s="842"/>
      <c r="F42" s="842"/>
      <c r="G42" s="842"/>
      <c r="H42" s="859"/>
      <c r="I42" s="988"/>
      <c r="J42" s="823"/>
      <c r="K42" s="871"/>
      <c r="L42" s="934" t="str">
        <f>'Front Page'!$A$13</f>
        <v>Mechanical  Calculations</v>
      </c>
      <c r="M42" s="842"/>
      <c r="N42" s="842"/>
      <c r="O42" s="842"/>
      <c r="P42" s="859"/>
      <c r="Q42" s="5"/>
      <c r="R42" s="5"/>
    </row>
    <row r="43" spans="1:18" ht="16.5" customHeight="1" thickBot="1" x14ac:dyDescent="0.3">
      <c r="A43" s="825"/>
      <c r="B43" s="809"/>
      <c r="C43" s="989"/>
      <c r="D43" s="984">
        <f>'Front Page'!$A$21</f>
        <v>0</v>
      </c>
      <c r="E43" s="831"/>
      <c r="F43" s="831"/>
      <c r="G43" s="831"/>
      <c r="H43" s="854"/>
      <c r="I43" s="825"/>
      <c r="J43" s="809"/>
      <c r="K43" s="989"/>
      <c r="L43" s="984">
        <f>'Front Page'!$A$21</f>
        <v>0</v>
      </c>
      <c r="M43" s="831"/>
      <c r="N43" s="831"/>
      <c r="O43" s="831"/>
      <c r="P43" s="854"/>
      <c r="Q43" s="5"/>
      <c r="R43" s="5"/>
    </row>
    <row r="44" spans="1:18" ht="16.5" customHeight="1" thickBot="1" x14ac:dyDescent="0.3">
      <c r="A44" s="827"/>
      <c r="B44" s="828"/>
      <c r="C44" s="857"/>
      <c r="D44" s="985" t="s">
        <v>1525</v>
      </c>
      <c r="E44" s="834"/>
      <c r="F44" s="834"/>
      <c r="G44" s="834"/>
      <c r="H44" s="986"/>
      <c r="I44" s="827"/>
      <c r="J44" s="828"/>
      <c r="K44" s="857"/>
      <c r="L44" s="985" t="s">
        <v>1525</v>
      </c>
      <c r="M44" s="834"/>
      <c r="N44" s="834"/>
      <c r="O44" s="834"/>
      <c r="P44" s="986"/>
      <c r="Q44" s="5"/>
      <c r="R44" s="5"/>
    </row>
    <row r="45" spans="1:18" ht="16.5" customHeight="1" thickTop="1" thickBot="1" x14ac:dyDescent="0.3">
      <c r="A45" s="873">
        <f>'Front Page'!$A$4</f>
        <v>0</v>
      </c>
      <c r="B45" s="848"/>
      <c r="C45" s="865"/>
      <c r="D45" s="385" t="str">
        <f>'Front Page'!$D$4</f>
        <v>Doc Nº</v>
      </c>
      <c r="E45" s="980">
        <f>'Front Page'!$F$4</f>
        <v>0</v>
      </c>
      <c r="F45" s="843"/>
      <c r="G45" s="980"/>
      <c r="H45" s="843"/>
      <c r="I45" s="873">
        <f>'Front Page'!$A$4</f>
        <v>0</v>
      </c>
      <c r="J45" s="848"/>
      <c r="K45" s="865"/>
      <c r="L45" s="385" t="str">
        <f>'Front Page'!$D$4</f>
        <v>Doc Nº</v>
      </c>
      <c r="M45" s="980">
        <f>'Front Page'!$F$4</f>
        <v>0</v>
      </c>
      <c r="N45" s="843"/>
      <c r="O45" s="980"/>
      <c r="P45" s="843"/>
      <c r="Q45" s="5"/>
      <c r="R45" s="5"/>
    </row>
    <row r="46" spans="1:18" ht="15.75" customHeight="1" thickBot="1" x14ac:dyDescent="0.3">
      <c r="A46" s="860">
        <f>'Front Page'!$A$5</f>
        <v>0</v>
      </c>
      <c r="B46" s="851"/>
      <c r="C46" s="861"/>
      <c r="D46" s="386" t="str">
        <f>'Front Page'!$D$5</f>
        <v>Project</v>
      </c>
      <c r="E46" s="899">
        <f>'Front Page'!$F$5</f>
        <v>0</v>
      </c>
      <c r="F46" s="835"/>
      <c r="G46" s="131" t="s">
        <v>5</v>
      </c>
      <c r="H46" s="132">
        <f>MAX('Front Page'!$A$48:$A$49)</f>
        <v>0</v>
      </c>
      <c r="I46" s="860">
        <f>'Front Page'!$A$5</f>
        <v>0</v>
      </c>
      <c r="J46" s="851"/>
      <c r="K46" s="861"/>
      <c r="L46" s="386" t="str">
        <f>'Front Page'!$D$5</f>
        <v>Project</v>
      </c>
      <c r="M46" s="899">
        <f>'Front Page'!$F$5</f>
        <v>0</v>
      </c>
      <c r="N46" s="835"/>
      <c r="O46" s="131" t="s">
        <v>5</v>
      </c>
      <c r="P46" s="427">
        <f>MAX('Front Page'!$A$33:$A$49)</f>
        <v>0</v>
      </c>
      <c r="Q46" s="5"/>
      <c r="R46" s="5"/>
    </row>
    <row r="47" spans="1:18" ht="13.5" customHeight="1" thickTop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5"/>
      <c r="R47" s="5"/>
    </row>
    <row r="48" spans="1:18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2">
      <c r="A50" s="976" t="s">
        <v>1536</v>
      </c>
      <c r="B50" s="809"/>
      <c r="C50" s="809"/>
      <c r="D50" s="809"/>
      <c r="E50" s="809"/>
      <c r="F50" s="809"/>
      <c r="G50" s="809"/>
      <c r="H50" s="809"/>
      <c r="I50" s="976" t="s">
        <v>1536</v>
      </c>
      <c r="J50" s="809"/>
      <c r="K50" s="809"/>
      <c r="L50" s="809"/>
      <c r="M50" s="809"/>
      <c r="N50" s="809"/>
      <c r="O50" s="809"/>
      <c r="P50" s="809"/>
      <c r="Q50" s="5"/>
      <c r="R50" s="5"/>
    </row>
    <row r="51" spans="1:18" ht="24.75" customHeight="1" x14ac:dyDescent="0.2">
      <c r="A51" s="809"/>
      <c r="B51" s="809"/>
      <c r="C51" s="809"/>
      <c r="D51" s="809"/>
      <c r="E51" s="809"/>
      <c r="F51" s="809"/>
      <c r="G51" s="809"/>
      <c r="H51" s="809"/>
      <c r="I51" s="809"/>
      <c r="J51" s="809"/>
      <c r="K51" s="809"/>
      <c r="L51" s="809"/>
      <c r="M51" s="809"/>
      <c r="N51" s="809"/>
      <c r="O51" s="809"/>
      <c r="P51" s="809"/>
      <c r="Q51" s="5"/>
      <c r="R51" s="5"/>
    </row>
    <row r="52" spans="1:18" ht="13.5" customHeight="1" x14ac:dyDescent="0.2">
      <c r="A52" s="809"/>
      <c r="B52" s="809"/>
      <c r="C52" s="809"/>
      <c r="D52" s="809"/>
      <c r="E52" s="809"/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  <c r="Q52" s="5"/>
      <c r="R52" s="5"/>
    </row>
    <row r="53" spans="1:18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">
      <c r="A54" s="932" t="s">
        <v>928</v>
      </c>
      <c r="B54" s="14"/>
      <c r="C54" s="14"/>
      <c r="D54" s="932" t="s">
        <v>929</v>
      </c>
      <c r="E54" s="809"/>
      <c r="F54" s="14"/>
      <c r="G54" s="14"/>
      <c r="H54" s="5"/>
      <c r="I54" s="932" t="s">
        <v>928</v>
      </c>
      <c r="J54" s="14"/>
      <c r="K54" s="14"/>
      <c r="L54" s="932" t="s">
        <v>929</v>
      </c>
      <c r="M54" s="809"/>
      <c r="N54" s="14"/>
      <c r="O54" s="14"/>
      <c r="P54" s="5"/>
      <c r="Q54" s="5"/>
      <c r="R54" s="5"/>
    </row>
    <row r="55" spans="1:18" x14ac:dyDescent="0.2">
      <c r="A55" s="809"/>
      <c r="B55" s="808" t="s">
        <v>931</v>
      </c>
      <c r="C55" s="809"/>
      <c r="D55" s="809"/>
      <c r="E55" s="809"/>
      <c r="F55" s="808" t="s">
        <v>930</v>
      </c>
      <c r="G55" s="809"/>
      <c r="H55" s="5"/>
      <c r="I55" s="809"/>
      <c r="J55" s="808" t="s">
        <v>931</v>
      </c>
      <c r="K55" s="809"/>
      <c r="L55" s="809"/>
      <c r="M55" s="809"/>
      <c r="N55" s="808" t="s">
        <v>930</v>
      </c>
      <c r="O55" s="809"/>
      <c r="P55" s="5"/>
      <c r="Q55" s="5"/>
      <c r="R55" s="5"/>
    </row>
    <row r="56" spans="1:18" x14ac:dyDescent="0.2">
      <c r="A56" s="14" t="s">
        <v>253</v>
      </c>
      <c r="B56" s="14" t="s">
        <v>932</v>
      </c>
      <c r="C56" s="14" t="s">
        <v>933</v>
      </c>
      <c r="D56" s="14" t="s">
        <v>934</v>
      </c>
      <c r="E56" s="14" t="s">
        <v>935</v>
      </c>
      <c r="F56" s="14" t="s">
        <v>936</v>
      </c>
      <c r="G56" s="14" t="s">
        <v>937</v>
      </c>
      <c r="H56" s="5"/>
      <c r="I56" s="14" t="s">
        <v>253</v>
      </c>
      <c r="J56" s="14" t="s">
        <v>932</v>
      </c>
      <c r="K56" s="14" t="s">
        <v>933</v>
      </c>
      <c r="L56" s="14" t="s">
        <v>934</v>
      </c>
      <c r="M56" s="14" t="s">
        <v>935</v>
      </c>
      <c r="N56" s="14" t="s">
        <v>936</v>
      </c>
      <c r="O56" s="14" t="s">
        <v>937</v>
      </c>
      <c r="P56" s="5"/>
      <c r="Q56" s="5"/>
      <c r="R56" s="5"/>
    </row>
    <row r="57" spans="1:18" x14ac:dyDescent="0.2">
      <c r="A57" s="14"/>
      <c r="B57" s="14" t="s">
        <v>940</v>
      </c>
      <c r="C57" s="14" t="s">
        <v>940</v>
      </c>
      <c r="D57" s="14" t="s">
        <v>247</v>
      </c>
      <c r="E57" s="14" t="s">
        <v>247</v>
      </c>
      <c r="F57" s="14" t="s">
        <v>941</v>
      </c>
      <c r="G57" s="14" t="s">
        <v>941</v>
      </c>
      <c r="H57" s="5"/>
      <c r="I57" s="14"/>
      <c r="J57" s="14" t="s">
        <v>940</v>
      </c>
      <c r="K57" s="14" t="s">
        <v>940</v>
      </c>
      <c r="L57" s="170" t="s">
        <v>248</v>
      </c>
      <c r="M57" s="170" t="s">
        <v>248</v>
      </c>
      <c r="N57" s="170" t="s">
        <v>926</v>
      </c>
      <c r="O57" s="170" t="s">
        <v>926</v>
      </c>
      <c r="P57" s="5"/>
      <c r="Q57" s="5"/>
      <c r="R57" s="5"/>
    </row>
    <row r="58" spans="1:18" x14ac:dyDescent="0.2">
      <c r="A58" s="14">
        <v>1</v>
      </c>
      <c r="B58" s="260">
        <f t="shared" ref="B58:B67" si="8">$B$20/4*(F28*1000000-E28*9.8/($B$20^2*PI()/4))</f>
        <v>58748.700930082428</v>
      </c>
      <c r="C58" s="260">
        <f t="shared" ref="C58:C67" si="9">F28*$B$20*1000000/2</f>
        <v>135879.40085785001</v>
      </c>
      <c r="D58" s="418">
        <f t="shared" ref="D58:D67" si="10">B58*1000/($B$17*1000000)/$B$19</f>
        <v>0.80082743906873533</v>
      </c>
      <c r="E58" s="418">
        <f t="shared" ref="E58:E67" si="11">C58*1000/($B$17*1000000)/$B$18</f>
        <v>1.852227383558479</v>
      </c>
      <c r="F58" s="418">
        <f t="shared" ref="F58:F67" si="12">B58/B28/$B$19/1000</f>
        <v>13.98778593573391</v>
      </c>
      <c r="G58" s="418">
        <f t="shared" ref="G58:G67" si="13">C58/B28/$B$18/1000</f>
        <v>32.3522382994881</v>
      </c>
      <c r="H58" s="5"/>
      <c r="I58" s="14">
        <v>1</v>
      </c>
      <c r="J58" s="260">
        <f t="shared" ref="J58:J67" si="14">B58</f>
        <v>58748.700930082428</v>
      </c>
      <c r="K58" s="260">
        <f t="shared" ref="K58:K67" si="15">C58</f>
        <v>135879.40085785001</v>
      </c>
      <c r="L58" s="417">
        <f t="shared" ref="L58:L67" si="16">D58/25.4</f>
        <v>3.1528639333414779E-2</v>
      </c>
      <c r="M58" s="417">
        <f t="shared" ref="M58:M67" si="17">E58/25.4</f>
        <v>7.2922337935373199E-2</v>
      </c>
      <c r="N58" s="418">
        <f t="shared" ref="N58:N67" si="18">F58*145.04</f>
        <v>2028.7884721188464</v>
      </c>
      <c r="O58" s="418">
        <f t="shared" ref="O58:O67" si="19">G58*145.04</f>
        <v>4692.3686429577538</v>
      </c>
      <c r="P58" s="5"/>
      <c r="Q58" s="5"/>
      <c r="R58" s="5"/>
    </row>
    <row r="59" spans="1:18" x14ac:dyDescent="0.2">
      <c r="A59" s="14">
        <v>2</v>
      </c>
      <c r="B59" s="260">
        <f t="shared" si="8"/>
        <v>48130.126089082434</v>
      </c>
      <c r="C59" s="260">
        <f t="shared" si="9"/>
        <v>112545.20797584999</v>
      </c>
      <c r="D59" s="418">
        <f t="shared" si="10"/>
        <v>0.65608132618705617</v>
      </c>
      <c r="E59" s="418">
        <f t="shared" si="11"/>
        <v>1.534149508940158</v>
      </c>
      <c r="F59" s="418">
        <f t="shared" si="12"/>
        <v>11.459553830733913</v>
      </c>
      <c r="G59" s="418">
        <f t="shared" si="13"/>
        <v>26.796478089488094</v>
      </c>
      <c r="H59" s="5"/>
      <c r="I59" s="14">
        <v>2</v>
      </c>
      <c r="J59" s="260">
        <f t="shared" si="14"/>
        <v>48130.126089082434</v>
      </c>
      <c r="K59" s="260">
        <f t="shared" si="15"/>
        <v>112545.20797584999</v>
      </c>
      <c r="L59" s="417">
        <f t="shared" si="16"/>
        <v>2.5829973471931347E-2</v>
      </c>
      <c r="M59" s="417">
        <f t="shared" si="17"/>
        <v>6.0399586966147958E-2</v>
      </c>
      <c r="N59" s="418">
        <f t="shared" si="18"/>
        <v>1662.0936876096466</v>
      </c>
      <c r="O59" s="418">
        <f t="shared" si="19"/>
        <v>3886.5611820993531</v>
      </c>
      <c r="P59" s="5"/>
      <c r="Q59" s="5"/>
      <c r="R59" s="5"/>
    </row>
    <row r="60" spans="1:18" x14ac:dyDescent="0.2">
      <c r="A60" s="14">
        <v>3</v>
      </c>
      <c r="B60" s="260">
        <f t="shared" si="8"/>
        <v>37511.551248082425</v>
      </c>
      <c r="C60" s="260">
        <f t="shared" si="9"/>
        <v>89211.015093850001</v>
      </c>
      <c r="D60" s="418">
        <f t="shared" si="10"/>
        <v>0.51133521330537668</v>
      </c>
      <c r="E60" s="418">
        <f t="shared" si="11"/>
        <v>1.2160716343218376</v>
      </c>
      <c r="F60" s="418">
        <f t="shared" si="12"/>
        <v>8.9313217257339108</v>
      </c>
      <c r="G60" s="418">
        <f t="shared" si="13"/>
        <v>21.240717879488095</v>
      </c>
      <c r="H60" s="5"/>
      <c r="I60" s="14">
        <v>3</v>
      </c>
      <c r="J60" s="260">
        <f t="shared" si="14"/>
        <v>37511.551248082425</v>
      </c>
      <c r="K60" s="260">
        <f t="shared" si="15"/>
        <v>89211.015093850001</v>
      </c>
      <c r="L60" s="417">
        <f t="shared" si="16"/>
        <v>2.0131307610447902E-2</v>
      </c>
      <c r="M60" s="417">
        <f t="shared" si="17"/>
        <v>4.7876835996922745E-2</v>
      </c>
      <c r="N60" s="418">
        <f t="shared" si="18"/>
        <v>1295.3989031004464</v>
      </c>
      <c r="O60" s="418">
        <f t="shared" si="19"/>
        <v>3080.7537212409529</v>
      </c>
      <c r="P60" s="5"/>
      <c r="Q60" s="5"/>
      <c r="R60" s="5"/>
    </row>
    <row r="61" spans="1:18" x14ac:dyDescent="0.2">
      <c r="A61" s="14">
        <v>4</v>
      </c>
      <c r="B61" s="260">
        <f t="shared" si="8"/>
        <v>26892.976407082435</v>
      </c>
      <c r="C61" s="260">
        <f t="shared" si="9"/>
        <v>65876.822211849998</v>
      </c>
      <c r="D61" s="418">
        <f t="shared" si="10"/>
        <v>0.36658910042369736</v>
      </c>
      <c r="E61" s="418">
        <f t="shared" si="11"/>
        <v>0.89799375970351691</v>
      </c>
      <c r="F61" s="418">
        <f t="shared" si="12"/>
        <v>6.4030896207339136</v>
      </c>
      <c r="G61" s="418">
        <f t="shared" si="13"/>
        <v>15.684957669488096</v>
      </c>
      <c r="H61" s="5"/>
      <c r="I61" s="14">
        <v>4</v>
      </c>
      <c r="J61" s="260">
        <f t="shared" si="14"/>
        <v>26892.976407082435</v>
      </c>
      <c r="K61" s="260">
        <f t="shared" si="15"/>
        <v>65876.822211849998</v>
      </c>
      <c r="L61" s="417">
        <f t="shared" si="16"/>
        <v>1.4432641748964463E-2</v>
      </c>
      <c r="M61" s="417">
        <f t="shared" si="17"/>
        <v>3.5354085027697518E-2</v>
      </c>
      <c r="N61" s="418">
        <f t="shared" si="18"/>
        <v>928.70411859124681</v>
      </c>
      <c r="O61" s="418">
        <f t="shared" si="19"/>
        <v>2274.9462603825532</v>
      </c>
      <c r="P61" s="5"/>
      <c r="Q61" s="5"/>
      <c r="R61" s="5"/>
    </row>
    <row r="62" spans="1:18" x14ac:dyDescent="0.2">
      <c r="A62" s="14">
        <v>5</v>
      </c>
      <c r="B62" s="260">
        <f t="shared" si="8"/>
        <v>26304.681901157423</v>
      </c>
      <c r="C62" s="260">
        <f t="shared" si="9"/>
        <v>62603.189999999988</v>
      </c>
      <c r="D62" s="418">
        <f t="shared" si="10"/>
        <v>0.35856981871806742</v>
      </c>
      <c r="E62" s="418">
        <f t="shared" si="11"/>
        <v>0.85336954743729543</v>
      </c>
      <c r="F62" s="418" t="e">
        <f t="shared" si="12"/>
        <v>#DIV/0!</v>
      </c>
      <c r="G62" s="418" t="e">
        <f t="shared" si="13"/>
        <v>#DIV/0!</v>
      </c>
      <c r="H62" s="5"/>
      <c r="I62" s="14">
        <v>5</v>
      </c>
      <c r="J62" s="260">
        <f t="shared" si="14"/>
        <v>26304.681901157423</v>
      </c>
      <c r="K62" s="260">
        <f t="shared" si="15"/>
        <v>62603.189999999988</v>
      </c>
      <c r="L62" s="417">
        <f t="shared" si="16"/>
        <v>1.4116921996774308E-2</v>
      </c>
      <c r="M62" s="417">
        <f t="shared" si="17"/>
        <v>3.3597226277058877E-2</v>
      </c>
      <c r="N62" s="418" t="e">
        <f t="shared" si="18"/>
        <v>#DIV/0!</v>
      </c>
      <c r="O62" s="418" t="e">
        <f t="shared" si="19"/>
        <v>#DIV/0!</v>
      </c>
      <c r="P62" s="5"/>
      <c r="Q62" s="5"/>
      <c r="R62" s="5"/>
    </row>
    <row r="63" spans="1:18" x14ac:dyDescent="0.2">
      <c r="A63" s="14">
        <v>6</v>
      </c>
      <c r="B63" s="260">
        <f t="shared" si="8"/>
        <v>26304.681901157423</v>
      </c>
      <c r="C63" s="260">
        <f t="shared" si="9"/>
        <v>62603.189999999988</v>
      </c>
      <c r="D63" s="418">
        <f t="shared" si="10"/>
        <v>0.35856981871806742</v>
      </c>
      <c r="E63" s="418">
        <f t="shared" si="11"/>
        <v>0.85336954743729543</v>
      </c>
      <c r="F63" s="418" t="e">
        <f t="shared" si="12"/>
        <v>#DIV/0!</v>
      </c>
      <c r="G63" s="418" t="e">
        <f t="shared" si="13"/>
        <v>#DIV/0!</v>
      </c>
      <c r="H63" s="5"/>
      <c r="I63" s="14">
        <v>6</v>
      </c>
      <c r="J63" s="260">
        <f t="shared" si="14"/>
        <v>26304.681901157423</v>
      </c>
      <c r="K63" s="260">
        <f t="shared" si="15"/>
        <v>62603.189999999988</v>
      </c>
      <c r="L63" s="417">
        <f t="shared" si="16"/>
        <v>1.4116921996774308E-2</v>
      </c>
      <c r="M63" s="417">
        <f t="shared" si="17"/>
        <v>3.3597226277058877E-2</v>
      </c>
      <c r="N63" s="418" t="e">
        <f t="shared" si="18"/>
        <v>#DIV/0!</v>
      </c>
      <c r="O63" s="418" t="e">
        <f t="shared" si="19"/>
        <v>#DIV/0!</v>
      </c>
      <c r="P63" s="5"/>
      <c r="Q63" s="5"/>
      <c r="R63" s="5"/>
    </row>
    <row r="64" spans="1:18" ht="12.75" customHeight="1" x14ac:dyDescent="0.2">
      <c r="A64" s="14">
        <v>7</v>
      </c>
      <c r="B64" s="260">
        <f t="shared" si="8"/>
        <v>26304.681901157423</v>
      </c>
      <c r="C64" s="260">
        <f t="shared" si="9"/>
        <v>62603.189999999988</v>
      </c>
      <c r="D64" s="418">
        <f t="shared" si="10"/>
        <v>0.35856981871806742</v>
      </c>
      <c r="E64" s="418">
        <f t="shared" si="11"/>
        <v>0.85336954743729543</v>
      </c>
      <c r="F64" s="418" t="e">
        <f t="shared" si="12"/>
        <v>#DIV/0!</v>
      </c>
      <c r="G64" s="418" t="e">
        <f t="shared" si="13"/>
        <v>#DIV/0!</v>
      </c>
      <c r="H64" s="5"/>
      <c r="I64" s="14">
        <v>7</v>
      </c>
      <c r="J64" s="260">
        <f t="shared" si="14"/>
        <v>26304.681901157423</v>
      </c>
      <c r="K64" s="260">
        <f t="shared" si="15"/>
        <v>62603.189999999988</v>
      </c>
      <c r="L64" s="417">
        <f t="shared" si="16"/>
        <v>1.4116921996774308E-2</v>
      </c>
      <c r="M64" s="417">
        <f t="shared" si="17"/>
        <v>3.3597226277058877E-2</v>
      </c>
      <c r="N64" s="418" t="e">
        <f t="shared" si="18"/>
        <v>#DIV/0!</v>
      </c>
      <c r="O64" s="418" t="e">
        <f t="shared" si="19"/>
        <v>#DIV/0!</v>
      </c>
      <c r="P64" s="5"/>
      <c r="Q64" s="5"/>
      <c r="R64" s="5"/>
    </row>
    <row r="65" spans="1:18" ht="15" customHeight="1" x14ac:dyDescent="0.2">
      <c r="A65" s="14">
        <v>8</v>
      </c>
      <c r="B65" s="260">
        <f t="shared" si="8"/>
        <v>26304.681901157423</v>
      </c>
      <c r="C65" s="260">
        <f t="shared" si="9"/>
        <v>62603.189999999988</v>
      </c>
      <c r="D65" s="418">
        <f t="shared" si="10"/>
        <v>0.35856981871806742</v>
      </c>
      <c r="E65" s="418">
        <f t="shared" si="11"/>
        <v>0.85336954743729543</v>
      </c>
      <c r="F65" s="418" t="e">
        <f t="shared" si="12"/>
        <v>#DIV/0!</v>
      </c>
      <c r="G65" s="418" t="e">
        <f t="shared" si="13"/>
        <v>#DIV/0!</v>
      </c>
      <c r="H65" s="5"/>
      <c r="I65" s="14">
        <v>8</v>
      </c>
      <c r="J65" s="260">
        <f t="shared" si="14"/>
        <v>26304.681901157423</v>
      </c>
      <c r="K65" s="260">
        <f t="shared" si="15"/>
        <v>62603.189999999988</v>
      </c>
      <c r="L65" s="417">
        <f t="shared" si="16"/>
        <v>1.4116921996774308E-2</v>
      </c>
      <c r="M65" s="417">
        <f t="shared" si="17"/>
        <v>3.3597226277058877E-2</v>
      </c>
      <c r="N65" s="418" t="e">
        <f t="shared" si="18"/>
        <v>#DIV/0!</v>
      </c>
      <c r="O65" s="418" t="e">
        <f t="shared" si="19"/>
        <v>#DIV/0!</v>
      </c>
      <c r="P65" s="5"/>
      <c r="Q65" s="5"/>
      <c r="R65" s="5"/>
    </row>
    <row r="66" spans="1:18" ht="14.25" customHeight="1" x14ac:dyDescent="0.2">
      <c r="A66" s="14">
        <v>9</v>
      </c>
      <c r="B66" s="260">
        <f t="shared" si="8"/>
        <v>26304.681901157423</v>
      </c>
      <c r="C66" s="260">
        <f t="shared" si="9"/>
        <v>62603.189999999988</v>
      </c>
      <c r="D66" s="418">
        <f t="shared" si="10"/>
        <v>0.35856981871806742</v>
      </c>
      <c r="E66" s="418">
        <f t="shared" si="11"/>
        <v>0.85336954743729543</v>
      </c>
      <c r="F66" s="418" t="e">
        <f t="shared" si="12"/>
        <v>#DIV/0!</v>
      </c>
      <c r="G66" s="418" t="e">
        <f t="shared" si="13"/>
        <v>#DIV/0!</v>
      </c>
      <c r="H66" s="5"/>
      <c r="I66" s="14">
        <v>9</v>
      </c>
      <c r="J66" s="260">
        <f t="shared" si="14"/>
        <v>26304.681901157423</v>
      </c>
      <c r="K66" s="260">
        <f t="shared" si="15"/>
        <v>62603.189999999988</v>
      </c>
      <c r="L66" s="417">
        <f t="shared" si="16"/>
        <v>1.4116921996774308E-2</v>
      </c>
      <c r="M66" s="417">
        <f t="shared" si="17"/>
        <v>3.3597226277058877E-2</v>
      </c>
      <c r="N66" s="418" t="e">
        <f t="shared" si="18"/>
        <v>#DIV/0!</v>
      </c>
      <c r="O66" s="418" t="e">
        <f t="shared" si="19"/>
        <v>#DIV/0!</v>
      </c>
      <c r="P66" s="5"/>
      <c r="Q66" s="5"/>
      <c r="R66" s="5"/>
    </row>
    <row r="67" spans="1:18" x14ac:dyDescent="0.2">
      <c r="A67" s="14">
        <v>10</v>
      </c>
      <c r="B67" s="260">
        <f t="shared" si="8"/>
        <v>26304.681901157423</v>
      </c>
      <c r="C67" s="260">
        <f t="shared" si="9"/>
        <v>62603.189999999988</v>
      </c>
      <c r="D67" s="418">
        <f t="shared" si="10"/>
        <v>0.35856981871806742</v>
      </c>
      <c r="E67" s="418">
        <f t="shared" si="11"/>
        <v>0.85336954743729543</v>
      </c>
      <c r="F67" s="418" t="e">
        <f t="shared" si="12"/>
        <v>#DIV/0!</v>
      </c>
      <c r="G67" s="418" t="e">
        <f t="shared" si="13"/>
        <v>#DIV/0!</v>
      </c>
      <c r="H67" s="5"/>
      <c r="I67" s="14">
        <v>10</v>
      </c>
      <c r="J67" s="260">
        <f t="shared" si="14"/>
        <v>26304.681901157423</v>
      </c>
      <c r="K67" s="260">
        <f t="shared" si="15"/>
        <v>62603.189999999988</v>
      </c>
      <c r="L67" s="417">
        <f t="shared" si="16"/>
        <v>1.4116921996774308E-2</v>
      </c>
      <c r="M67" s="417">
        <f t="shared" si="17"/>
        <v>3.3597226277058877E-2</v>
      </c>
      <c r="N67" s="418" t="e">
        <f t="shared" si="18"/>
        <v>#DIV/0!</v>
      </c>
      <c r="O67" s="418" t="e">
        <f t="shared" si="19"/>
        <v>#DIV/0!</v>
      </c>
      <c r="P67" s="5"/>
      <c r="Q67" s="5"/>
      <c r="R67" s="5"/>
    </row>
    <row r="68" spans="1:18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8" customHeight="1" x14ac:dyDescent="0.25">
      <c r="A69" s="420" t="s">
        <v>942</v>
      </c>
      <c r="B69" s="5"/>
      <c r="C69" s="5"/>
      <c r="D69" s="5"/>
      <c r="E69" s="5"/>
      <c r="F69" s="5"/>
      <c r="G69" s="5"/>
      <c r="H69" s="5"/>
      <c r="I69" s="420" t="s">
        <v>942</v>
      </c>
      <c r="J69" s="5"/>
      <c r="K69" s="5"/>
      <c r="L69" s="5"/>
      <c r="M69" s="5"/>
      <c r="N69" s="5"/>
      <c r="O69" s="5"/>
      <c r="P69" s="5"/>
      <c r="Q69" s="5"/>
      <c r="R69" s="5"/>
    </row>
    <row r="70" spans="1:18" ht="18" customHeight="1" x14ac:dyDescent="0.25">
      <c r="A70" s="420"/>
      <c r="B70" s="5"/>
      <c r="C70" s="5"/>
      <c r="D70" s="5"/>
      <c r="E70" s="5"/>
      <c r="F70" s="5"/>
      <c r="G70" s="5"/>
      <c r="H70" s="5"/>
      <c r="I70" s="420"/>
      <c r="J70" s="5"/>
      <c r="K70" s="5"/>
      <c r="L70" s="5"/>
      <c r="M70" s="5"/>
      <c r="N70" s="5"/>
      <c r="O70" s="5"/>
      <c r="P70" s="5"/>
      <c r="Q70" s="5"/>
      <c r="R70" s="5"/>
    </row>
    <row r="71" spans="1:18" ht="25.5" customHeight="1" x14ac:dyDescent="0.2">
      <c r="A71" s="5"/>
      <c r="B71" s="111" t="s">
        <v>256</v>
      </c>
      <c r="C71" s="5"/>
      <c r="D71" s="5"/>
      <c r="E71" s="5"/>
      <c r="F71" s="5"/>
      <c r="G71" s="5"/>
      <c r="H71" s="5"/>
      <c r="I71" s="5"/>
      <c r="J71" s="111" t="s">
        <v>256</v>
      </c>
      <c r="K71" s="5"/>
      <c r="L71" s="5"/>
      <c r="M71" s="5"/>
      <c r="N71" s="5"/>
      <c r="O71" s="5"/>
      <c r="P71" s="5"/>
      <c r="Q71" s="5"/>
      <c r="R71" s="5"/>
    </row>
    <row r="72" spans="1:18" x14ac:dyDescent="0.2">
      <c r="A72" s="5"/>
      <c r="B72" s="218" t="s">
        <v>253</v>
      </c>
      <c r="C72" s="14" t="s">
        <v>946</v>
      </c>
      <c r="D72" s="5"/>
      <c r="E72" s="5"/>
      <c r="F72" s="5"/>
      <c r="G72" s="5"/>
      <c r="H72" s="5"/>
      <c r="I72" s="5"/>
      <c r="J72" s="218" t="s">
        <v>253</v>
      </c>
      <c r="K72" s="14" t="s">
        <v>946</v>
      </c>
      <c r="L72" s="5"/>
      <c r="M72" s="5"/>
      <c r="N72" s="5"/>
      <c r="O72" s="5"/>
      <c r="P72" s="5"/>
      <c r="Q72" s="5"/>
      <c r="R72" s="5"/>
    </row>
    <row r="73" spans="1:18" x14ac:dyDescent="0.2">
      <c r="A73" s="5"/>
      <c r="B73" s="14">
        <v>1</v>
      </c>
      <c r="C73" s="417">
        <f t="shared" ref="C73:C82" si="20">B28/MAX(D58,E58)</f>
        <v>3.23934310293635</v>
      </c>
      <c r="D73" s="264" t="str">
        <f t="shared" ref="D73:D82" si="21">IF(B28&gt;0,IF(C73&gt;1,"OK","ERROR"),"N/A")</f>
        <v>OK</v>
      </c>
      <c r="E73" s="5"/>
      <c r="F73" s="5"/>
      <c r="G73" s="5"/>
      <c r="H73" s="5"/>
      <c r="I73" s="5"/>
      <c r="J73" s="14">
        <v>1</v>
      </c>
      <c r="K73" s="417">
        <f t="shared" ref="K73:K82" si="22">J28/MAX(L58,M58)</f>
        <v>3.2393431029363495</v>
      </c>
      <c r="L73" s="264" t="str">
        <f t="shared" ref="L73:L82" si="23">IF(J28&gt;0,IF(K73&gt;1,"OK","ERROR"),"N/A")</f>
        <v>OK</v>
      </c>
      <c r="M73" s="5"/>
      <c r="N73" s="5"/>
      <c r="O73" s="5"/>
      <c r="P73" s="5"/>
      <c r="Q73" s="5"/>
      <c r="R73" s="5"/>
    </row>
    <row r="74" spans="1:18" x14ac:dyDescent="0.2">
      <c r="A74" s="5"/>
      <c r="B74" s="14">
        <v>2</v>
      </c>
      <c r="C74" s="417">
        <f t="shared" si="20"/>
        <v>3.9109617185517997</v>
      </c>
      <c r="D74" s="264" t="str">
        <f t="shared" si="21"/>
        <v>OK</v>
      </c>
      <c r="E74" s="5"/>
      <c r="F74" s="5"/>
      <c r="G74" s="5"/>
      <c r="H74" s="5"/>
      <c r="I74" s="5"/>
      <c r="J74" s="14">
        <v>2</v>
      </c>
      <c r="K74" s="417">
        <f t="shared" si="22"/>
        <v>3.9109617185517997</v>
      </c>
      <c r="L74" s="264" t="str">
        <f t="shared" si="23"/>
        <v>OK</v>
      </c>
      <c r="M74" s="5"/>
      <c r="N74" s="5"/>
      <c r="O74" s="5"/>
      <c r="P74" s="5"/>
      <c r="Q74" s="5"/>
      <c r="R74" s="5"/>
    </row>
    <row r="75" spans="1:18" x14ac:dyDescent="0.2">
      <c r="A75" s="5"/>
      <c r="B75" s="14">
        <v>3</v>
      </c>
      <c r="C75" s="417">
        <f t="shared" si="20"/>
        <v>4.9339198700625877</v>
      </c>
      <c r="D75" s="264" t="str">
        <f t="shared" si="21"/>
        <v>OK</v>
      </c>
      <c r="E75" s="5"/>
      <c r="F75" s="5"/>
      <c r="G75" s="5"/>
      <c r="H75" s="5"/>
      <c r="I75" s="5"/>
      <c r="J75" s="14">
        <v>3</v>
      </c>
      <c r="K75" s="417">
        <f t="shared" si="22"/>
        <v>4.9339198700625877</v>
      </c>
      <c r="L75" s="264" t="str">
        <f t="shared" si="23"/>
        <v>OK</v>
      </c>
      <c r="M75" s="5"/>
      <c r="N75" s="5"/>
      <c r="O75" s="5"/>
      <c r="P75" s="5"/>
      <c r="Q75" s="5"/>
      <c r="R75" s="5"/>
    </row>
    <row r="76" spans="1:18" x14ac:dyDescent="0.2">
      <c r="A76" s="5"/>
      <c r="B76" s="14">
        <v>4</v>
      </c>
      <c r="C76" s="417">
        <f t="shared" si="20"/>
        <v>6.681560907484446</v>
      </c>
      <c r="D76" s="264" t="str">
        <f t="shared" si="21"/>
        <v>OK</v>
      </c>
      <c r="E76" s="5"/>
      <c r="F76" s="5"/>
      <c r="G76" s="5"/>
      <c r="H76" s="5"/>
      <c r="I76" s="5"/>
      <c r="J76" s="14">
        <v>4</v>
      </c>
      <c r="K76" s="417">
        <f t="shared" si="22"/>
        <v>6.681560907484446</v>
      </c>
      <c r="L76" s="264" t="str">
        <f t="shared" si="23"/>
        <v>OK</v>
      </c>
      <c r="M76" s="5"/>
      <c r="N76" s="5"/>
      <c r="O76" s="5"/>
      <c r="P76" s="5"/>
      <c r="Q76" s="5"/>
      <c r="R76" s="5"/>
    </row>
    <row r="77" spans="1:18" x14ac:dyDescent="0.2">
      <c r="A77" s="5"/>
      <c r="B77" s="14">
        <v>5</v>
      </c>
      <c r="C77" s="417">
        <f t="shared" si="20"/>
        <v>0</v>
      </c>
      <c r="D77" s="264" t="str">
        <f t="shared" si="21"/>
        <v>N/A</v>
      </c>
      <c r="E77" s="5"/>
      <c r="F77" s="5"/>
      <c r="G77" s="5"/>
      <c r="H77" s="5"/>
      <c r="I77" s="5"/>
      <c r="J77" s="14">
        <v>5</v>
      </c>
      <c r="K77" s="417">
        <f t="shared" si="22"/>
        <v>0</v>
      </c>
      <c r="L77" s="264" t="str">
        <f t="shared" si="23"/>
        <v>N/A</v>
      </c>
      <c r="M77" s="5"/>
      <c r="N77" s="5"/>
      <c r="O77" s="5"/>
      <c r="P77" s="5"/>
      <c r="Q77" s="5"/>
      <c r="R77" s="5"/>
    </row>
    <row r="78" spans="1:18" x14ac:dyDescent="0.2">
      <c r="A78" s="5"/>
      <c r="B78" s="14">
        <v>6</v>
      </c>
      <c r="C78" s="417">
        <f t="shared" si="20"/>
        <v>0</v>
      </c>
      <c r="D78" s="264" t="str">
        <f t="shared" si="21"/>
        <v>N/A</v>
      </c>
      <c r="E78" s="5"/>
      <c r="F78" s="5"/>
      <c r="G78" s="5"/>
      <c r="H78" s="5"/>
      <c r="I78" s="5"/>
      <c r="J78" s="14">
        <v>6</v>
      </c>
      <c r="K78" s="417">
        <f t="shared" si="22"/>
        <v>0</v>
      </c>
      <c r="L78" s="264" t="str">
        <f t="shared" si="23"/>
        <v>N/A</v>
      </c>
      <c r="M78" s="5"/>
      <c r="N78" s="5"/>
      <c r="O78" s="5"/>
      <c r="P78" s="5"/>
      <c r="Q78" s="5"/>
      <c r="R78" s="5"/>
    </row>
    <row r="79" spans="1:18" x14ac:dyDescent="0.2">
      <c r="A79" s="5"/>
      <c r="B79" s="14">
        <v>7</v>
      </c>
      <c r="C79" s="417">
        <f t="shared" si="20"/>
        <v>0</v>
      </c>
      <c r="D79" s="264" t="str">
        <f t="shared" si="21"/>
        <v>N/A</v>
      </c>
      <c r="E79" s="5"/>
      <c r="F79" s="5"/>
      <c r="G79" s="5"/>
      <c r="H79" s="5"/>
      <c r="I79" s="5"/>
      <c r="J79" s="14">
        <v>7</v>
      </c>
      <c r="K79" s="417">
        <f t="shared" si="22"/>
        <v>0</v>
      </c>
      <c r="L79" s="264" t="str">
        <f t="shared" si="23"/>
        <v>N/A</v>
      </c>
      <c r="M79" s="5"/>
      <c r="N79" s="5"/>
      <c r="O79" s="5"/>
      <c r="P79" s="5"/>
      <c r="Q79" s="5"/>
      <c r="R79" s="5"/>
    </row>
    <row r="80" spans="1:18" x14ac:dyDescent="0.2">
      <c r="A80" s="5"/>
      <c r="B80" s="14">
        <v>8</v>
      </c>
      <c r="C80" s="417">
        <f t="shared" si="20"/>
        <v>0</v>
      </c>
      <c r="D80" s="264" t="str">
        <f t="shared" si="21"/>
        <v>N/A</v>
      </c>
      <c r="E80" s="5"/>
      <c r="F80" s="5"/>
      <c r="G80" s="5"/>
      <c r="H80" s="5"/>
      <c r="I80" s="5"/>
      <c r="J80" s="14">
        <v>8</v>
      </c>
      <c r="K80" s="417">
        <f t="shared" si="22"/>
        <v>0</v>
      </c>
      <c r="L80" s="264" t="str">
        <f t="shared" si="23"/>
        <v>N/A</v>
      </c>
      <c r="M80" s="5"/>
      <c r="N80" s="5"/>
      <c r="O80" s="5"/>
      <c r="P80" s="5"/>
      <c r="Q80" s="5"/>
      <c r="R80" s="5"/>
    </row>
    <row r="81" spans="1:18" x14ac:dyDescent="0.2">
      <c r="A81" s="5"/>
      <c r="B81" s="14">
        <v>9</v>
      </c>
      <c r="C81" s="417">
        <f t="shared" si="20"/>
        <v>0</v>
      </c>
      <c r="D81" s="264" t="str">
        <f t="shared" si="21"/>
        <v>N/A</v>
      </c>
      <c r="E81" s="5"/>
      <c r="F81" s="5"/>
      <c r="G81" s="5"/>
      <c r="H81" s="5"/>
      <c r="I81" s="5"/>
      <c r="J81" s="14">
        <v>9</v>
      </c>
      <c r="K81" s="417">
        <f t="shared" si="22"/>
        <v>0</v>
      </c>
      <c r="L81" s="264" t="str">
        <f t="shared" si="23"/>
        <v>N/A</v>
      </c>
      <c r="M81" s="5"/>
      <c r="N81" s="5"/>
      <c r="O81" s="5"/>
      <c r="P81" s="5"/>
      <c r="Q81" s="5"/>
      <c r="R81" s="5"/>
    </row>
    <row r="82" spans="1:18" x14ac:dyDescent="0.2">
      <c r="A82" s="5"/>
      <c r="B82" s="14">
        <v>10</v>
      </c>
      <c r="C82" s="417">
        <f t="shared" si="20"/>
        <v>0</v>
      </c>
      <c r="D82" s="264" t="str">
        <f t="shared" si="21"/>
        <v>N/A</v>
      </c>
      <c r="E82" s="5"/>
      <c r="F82" s="5"/>
      <c r="G82" s="5"/>
      <c r="H82" s="5"/>
      <c r="I82" s="5"/>
      <c r="J82" s="14">
        <v>10</v>
      </c>
      <c r="K82" s="417">
        <f t="shared" si="22"/>
        <v>0</v>
      </c>
      <c r="L82" s="264" t="str">
        <f t="shared" si="23"/>
        <v>N/A</v>
      </c>
      <c r="M82" s="5"/>
      <c r="N82" s="5"/>
      <c r="O82" s="5"/>
      <c r="P82" s="5"/>
      <c r="Q82" s="5"/>
      <c r="R82" s="5"/>
    </row>
    <row r="83" spans="1:18" x14ac:dyDescent="0.2">
      <c r="A83" s="5"/>
      <c r="B83" s="14"/>
      <c r="C83" s="417"/>
      <c r="D83" s="264"/>
      <c r="E83" s="5"/>
      <c r="F83" s="5"/>
      <c r="G83" s="5"/>
      <c r="H83" s="5"/>
      <c r="I83" s="5"/>
      <c r="J83" s="14"/>
      <c r="K83" s="417"/>
      <c r="L83" s="264"/>
      <c r="M83" s="5"/>
      <c r="N83" s="5"/>
      <c r="O83" s="5"/>
      <c r="P83" s="5"/>
      <c r="Q83" s="5"/>
      <c r="R83" s="5"/>
    </row>
    <row r="84" spans="1:18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2">
      <c r="A85" s="64" t="s">
        <v>1537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">
      <c r="A86" s="64" t="s">
        <v>1538</v>
      </c>
      <c r="B86" s="5">
        <f>'Weight Calculations'!H71+'Weight Calculations'!H70</f>
        <v>75332.058219880302</v>
      </c>
      <c r="C86" s="64" t="s">
        <v>1539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x14ac:dyDescent="0.2">
      <c r="A87" s="64" t="s">
        <v>1540</v>
      </c>
      <c r="B87" s="5">
        <f>B20^2/4*PI()*'Design Conditions'!J38</f>
        <v>104932.83887737723</v>
      </c>
      <c r="C87" s="64" t="s">
        <v>1541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x14ac:dyDescent="0.2">
      <c r="A88" s="64" t="s">
        <v>1542</v>
      </c>
      <c r="B88" s="5">
        <f>(B86+B87)*9.8/(PI()*B20*1000)</f>
        <v>24.030981581368199</v>
      </c>
      <c r="C88" s="64" t="s">
        <v>1543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2">
      <c r="A89" s="64" t="s">
        <v>1544</v>
      </c>
      <c r="B89" s="5">
        <f>4*'Wind Forces'!F42*1000000/(PI()*(B20*1000)^2)</f>
        <v>8.1024498736772603</v>
      </c>
      <c r="C89" s="64" t="s">
        <v>1545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x14ac:dyDescent="0.2">
      <c r="A90" s="64" t="s">
        <v>1546</v>
      </c>
      <c r="B90" s="5">
        <f>(B88+B89)/B28</f>
        <v>5.3555719091742437</v>
      </c>
      <c r="C90" s="64" t="s">
        <v>941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x14ac:dyDescent="0.2">
      <c r="A91" s="5"/>
      <c r="B91" s="5">
        <f>B28/B20*2/1000</f>
        <v>5.1282051282051293E-4</v>
      </c>
      <c r="C91" s="64" t="s">
        <v>1547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x14ac:dyDescent="0.2">
      <c r="A92" s="64" t="s">
        <v>1548</v>
      </c>
      <c r="B92" s="5">
        <f>1800000*B91*0.0069</f>
        <v>6.3692307692307706</v>
      </c>
      <c r="C92" s="64" t="s">
        <v>1549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3.5" customHeight="1" thickBo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7.25" customHeight="1" thickTop="1" thickBot="1" x14ac:dyDescent="0.3">
      <c r="A94" s="988"/>
      <c r="B94" s="823"/>
      <c r="C94" s="871"/>
      <c r="D94" s="934" t="str">
        <f>'Front Page'!$A$13</f>
        <v>Mechanical  Calculations</v>
      </c>
      <c r="E94" s="842"/>
      <c r="F94" s="842"/>
      <c r="G94" s="842"/>
      <c r="H94" s="859"/>
      <c r="I94" s="988"/>
      <c r="J94" s="823"/>
      <c r="K94" s="871"/>
      <c r="L94" s="934" t="str">
        <f>'Front Page'!$A$13</f>
        <v>Mechanical  Calculations</v>
      </c>
      <c r="M94" s="842"/>
      <c r="N94" s="842"/>
      <c r="O94" s="842"/>
      <c r="P94" s="859"/>
      <c r="Q94" s="5"/>
      <c r="R94" s="5"/>
    </row>
    <row r="95" spans="1:18" ht="16.5" customHeight="1" thickBot="1" x14ac:dyDescent="0.3">
      <c r="A95" s="825"/>
      <c r="B95" s="809"/>
      <c r="C95" s="989"/>
      <c r="D95" s="984"/>
      <c r="E95" s="831"/>
      <c r="F95" s="831"/>
      <c r="G95" s="831"/>
      <c r="H95" s="854"/>
      <c r="I95" s="825"/>
      <c r="J95" s="809"/>
      <c r="K95" s="989"/>
      <c r="L95" s="984"/>
      <c r="M95" s="831"/>
      <c r="N95" s="831"/>
      <c r="O95" s="831"/>
      <c r="P95" s="854"/>
      <c r="Q95" s="5"/>
      <c r="R95" s="5"/>
    </row>
    <row r="96" spans="1:18" ht="16.5" customHeight="1" thickBot="1" x14ac:dyDescent="0.3">
      <c r="A96" s="827"/>
      <c r="B96" s="828"/>
      <c r="C96" s="857"/>
      <c r="D96" s="985" t="s">
        <v>1525</v>
      </c>
      <c r="E96" s="834"/>
      <c r="F96" s="834"/>
      <c r="G96" s="834"/>
      <c r="H96" s="986"/>
      <c r="I96" s="827"/>
      <c r="J96" s="828"/>
      <c r="K96" s="857"/>
      <c r="L96" s="985" t="s">
        <v>1525</v>
      </c>
      <c r="M96" s="834"/>
      <c r="N96" s="834"/>
      <c r="O96" s="834"/>
      <c r="P96" s="986"/>
      <c r="Q96" s="5"/>
      <c r="R96" s="5"/>
    </row>
    <row r="97" spans="1:18" ht="16.5" customHeight="1" thickTop="1" thickBot="1" x14ac:dyDescent="0.3">
      <c r="A97" s="873"/>
      <c r="B97" s="848"/>
      <c r="C97" s="865"/>
      <c r="D97" s="385" t="str">
        <f>'Front Page'!$D$4</f>
        <v>Doc Nº</v>
      </c>
      <c r="E97" s="980"/>
      <c r="F97" s="843"/>
      <c r="G97" s="980"/>
      <c r="H97" s="843"/>
      <c r="I97" s="873"/>
      <c r="J97" s="848"/>
      <c r="K97" s="865"/>
      <c r="L97" s="385" t="str">
        <f>'Front Page'!$D$4</f>
        <v>Doc Nº</v>
      </c>
      <c r="M97" s="980"/>
      <c r="N97" s="843"/>
      <c r="O97" s="980"/>
      <c r="P97" s="843"/>
      <c r="Q97" s="5"/>
      <c r="R97" s="5"/>
    </row>
    <row r="98" spans="1:18" ht="15.75" customHeight="1" thickBot="1" x14ac:dyDescent="0.3">
      <c r="A98" s="860"/>
      <c r="B98" s="851"/>
      <c r="C98" s="861"/>
      <c r="D98" s="386" t="str">
        <f>'Front Page'!$D$5</f>
        <v>Project</v>
      </c>
      <c r="E98" s="899"/>
      <c r="F98" s="835"/>
      <c r="G98" s="131" t="s">
        <v>5</v>
      </c>
      <c r="H98" s="132"/>
      <c r="I98" s="860"/>
      <c r="J98" s="851"/>
      <c r="K98" s="861"/>
      <c r="L98" s="386" t="str">
        <f>'Front Page'!$D$5</f>
        <v>Project</v>
      </c>
      <c r="M98" s="899"/>
      <c r="N98" s="835"/>
      <c r="O98" s="131" t="s">
        <v>5</v>
      </c>
      <c r="P98" s="427"/>
      <c r="Q98" s="5"/>
      <c r="R98" s="5"/>
    </row>
    <row r="99" spans="1:18" ht="13.5" customHeight="1" thickTop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x14ac:dyDescent="0.2">
      <c r="A100" s="64" t="s">
        <v>1538</v>
      </c>
      <c r="B100" s="5">
        <f>'Weight Calculations'!H161+'Weight Calculations'!H162</f>
        <v>84989.294994331023</v>
      </c>
      <c r="C100" s="64" t="s">
        <v>1550</v>
      </c>
      <c r="D100" s="5"/>
      <c r="E100" s="5"/>
      <c r="F100" s="5"/>
      <c r="G100" s="5"/>
      <c r="H100" s="5"/>
      <c r="I100" s="64" t="s">
        <v>1538</v>
      </c>
      <c r="J100" s="387">
        <f>B100*2.205</f>
        <v>187401.3954624999</v>
      </c>
      <c r="K100" s="64" t="s">
        <v>1551</v>
      </c>
      <c r="L100" s="5"/>
      <c r="M100" s="5"/>
      <c r="N100" s="5"/>
      <c r="O100" s="5"/>
      <c r="P100" s="5"/>
      <c r="Q100" s="5"/>
      <c r="R100" s="5"/>
    </row>
    <row r="101" spans="1:18" x14ac:dyDescent="0.2">
      <c r="A101" s="64" t="s">
        <v>265</v>
      </c>
      <c r="B101" s="263">
        <f>+'Wind Forces'!F144*1000</f>
        <v>4569677.8263768749</v>
      </c>
      <c r="C101" s="64" t="s">
        <v>1552</v>
      </c>
      <c r="D101" s="5"/>
      <c r="E101" s="5"/>
      <c r="F101" s="5"/>
      <c r="G101" s="5"/>
      <c r="H101" s="5"/>
      <c r="I101" s="64" t="s">
        <v>265</v>
      </c>
      <c r="J101" s="263">
        <f>B101*8.8507</f>
        <v>40444847.537913807</v>
      </c>
      <c r="K101" s="64" t="s">
        <v>1553</v>
      </c>
      <c r="L101" s="5"/>
      <c r="M101" s="5"/>
      <c r="N101" s="5"/>
      <c r="O101" s="5"/>
      <c r="P101" s="5"/>
      <c r="Q101" s="5"/>
      <c r="R101" s="592" t="s">
        <v>1554</v>
      </c>
    </row>
    <row r="102" spans="1:18" x14ac:dyDescent="0.2">
      <c r="A102" s="64" t="s">
        <v>1555</v>
      </c>
      <c r="B102" s="5">
        <f>'Design Conditions'!J38*9.8</f>
        <v>2391.2000000000003</v>
      </c>
      <c r="C102" s="64" t="s">
        <v>1556</v>
      </c>
      <c r="D102" s="5"/>
      <c r="E102" s="5"/>
      <c r="F102" s="5"/>
      <c r="G102" s="5"/>
      <c r="H102" s="5"/>
      <c r="I102" s="64" t="s">
        <v>1555</v>
      </c>
      <c r="J102" s="5">
        <f>B102*0.000145</f>
        <v>0.34672400000000003</v>
      </c>
      <c r="K102" s="64" t="s">
        <v>1557</v>
      </c>
      <c r="L102" s="5"/>
      <c r="M102" s="5"/>
      <c r="N102" s="5"/>
      <c r="O102" s="5"/>
      <c r="P102" s="5"/>
      <c r="Q102" s="5"/>
      <c r="R102" s="5"/>
    </row>
    <row r="103" spans="1:18" x14ac:dyDescent="0.2">
      <c r="A103" s="366"/>
      <c r="B103" s="433"/>
      <c r="C103" s="433"/>
      <c r="D103" s="366"/>
      <c r="E103" s="433"/>
      <c r="F103" s="5"/>
      <c r="G103" s="5"/>
      <c r="H103" s="5"/>
      <c r="I103" s="64" t="s">
        <v>1558</v>
      </c>
      <c r="J103" s="5">
        <v>0.34699999999999998</v>
      </c>
      <c r="K103" s="64" t="s">
        <v>1559</v>
      </c>
      <c r="L103" s="5"/>
      <c r="M103" s="5"/>
      <c r="N103" s="5"/>
      <c r="O103" s="5"/>
      <c r="P103" s="5"/>
      <c r="Q103" s="5"/>
      <c r="R103" s="5"/>
    </row>
    <row r="104" spans="1:18" x14ac:dyDescent="0.2">
      <c r="A104" s="64" t="s">
        <v>1560</v>
      </c>
      <c r="B104" s="5">
        <f>B100*9.8/(PI()*B20*1000)</f>
        <v>11.32986075220359</v>
      </c>
      <c r="C104" s="64" t="s">
        <v>1561</v>
      </c>
      <c r="D104" s="5"/>
      <c r="E104" s="5"/>
      <c r="F104" s="5"/>
      <c r="G104" s="5"/>
      <c r="H104" s="5"/>
      <c r="I104" s="64" t="s">
        <v>1560</v>
      </c>
      <c r="J104" s="5">
        <f>B104*0.00571</f>
        <v>6.4693504895082493E-2</v>
      </c>
      <c r="K104" s="64" t="s">
        <v>1561</v>
      </c>
      <c r="L104" s="5"/>
      <c r="M104" s="5"/>
      <c r="N104" s="5"/>
      <c r="O104" s="5"/>
      <c r="P104" s="5"/>
      <c r="Q104" s="5"/>
      <c r="R104" s="5"/>
    </row>
    <row r="105" spans="1:18" x14ac:dyDescent="0.2">
      <c r="A105" s="64" t="s">
        <v>1562</v>
      </c>
      <c r="B105" s="5">
        <f>4*B101*1000/(PI()*(B20*1000)^2)</f>
        <v>10.625857468117577</v>
      </c>
      <c r="C105" s="64" t="s">
        <v>1563</v>
      </c>
      <c r="D105" s="5"/>
      <c r="E105" s="5"/>
      <c r="F105" s="5"/>
      <c r="G105" s="5"/>
      <c r="H105" s="5"/>
      <c r="I105" s="64" t="s">
        <v>1562</v>
      </c>
      <c r="J105" s="5">
        <f>B105*0.00571</f>
        <v>6.0673646142951357E-2</v>
      </c>
      <c r="K105" s="64" t="s">
        <v>1563</v>
      </c>
      <c r="L105" s="5"/>
      <c r="M105" s="5"/>
      <c r="N105" s="5"/>
      <c r="O105" s="5"/>
      <c r="P105" s="5"/>
      <c r="Q105" s="5"/>
      <c r="R105" s="5"/>
    </row>
    <row r="106" spans="1:18" x14ac:dyDescent="0.2">
      <c r="A106" s="64" t="s">
        <v>1564</v>
      </c>
      <c r="B106" s="5">
        <f>PI()*B20^2/4*B102/(PI()*B20)/1000</f>
        <v>13.988520000000003</v>
      </c>
      <c r="C106" s="64" t="s">
        <v>1565</v>
      </c>
      <c r="D106" s="5"/>
      <c r="E106" s="5"/>
      <c r="F106" s="5"/>
      <c r="G106" s="5"/>
      <c r="H106" s="5"/>
      <c r="I106" s="64" t="s">
        <v>1564</v>
      </c>
      <c r="J106" s="5">
        <f>B106*0.00571</f>
        <v>7.9874449200000017E-2</v>
      </c>
      <c r="K106" s="64" t="s">
        <v>1565</v>
      </c>
      <c r="L106" s="5"/>
      <c r="M106" s="5"/>
      <c r="N106" s="5"/>
      <c r="O106" s="5"/>
      <c r="P106" s="5"/>
      <c r="Q106" s="5"/>
      <c r="R106" s="5"/>
    </row>
    <row r="107" spans="1:18" x14ac:dyDescent="0.2">
      <c r="A107" s="5"/>
      <c r="B107" s="5"/>
      <c r="C107" s="5"/>
      <c r="D107" s="5"/>
      <c r="E107" s="5"/>
      <c r="F107" s="5"/>
      <c r="G107" s="5"/>
      <c r="H107" s="5"/>
      <c r="I107" s="64" t="s">
        <v>1566</v>
      </c>
      <c r="J107" s="5"/>
      <c r="K107" s="5"/>
      <c r="L107" s="5"/>
      <c r="M107" s="5"/>
      <c r="N107" s="5"/>
      <c r="O107" s="5"/>
      <c r="P107" s="5"/>
      <c r="Q107" s="5"/>
      <c r="R107" s="5"/>
    </row>
    <row r="108" spans="1:18" x14ac:dyDescent="0.2">
      <c r="A108" s="64" t="s">
        <v>1567</v>
      </c>
      <c r="B108" s="5">
        <f>(B104+B106)/B28</f>
        <v>4.2197301253672661</v>
      </c>
      <c r="C108" s="64" t="s">
        <v>1568</v>
      </c>
      <c r="D108" s="5"/>
      <c r="E108" s="5"/>
      <c r="F108" s="5"/>
      <c r="G108" s="5"/>
      <c r="H108" s="5"/>
      <c r="I108" s="64" t="s">
        <v>1567</v>
      </c>
      <c r="J108" s="5">
        <f>B108*145.03</f>
        <v>611.98746008201465</v>
      </c>
      <c r="K108" s="64" t="s">
        <v>1568</v>
      </c>
      <c r="L108" s="5"/>
      <c r="M108" s="5"/>
      <c r="N108" s="5"/>
      <c r="O108" s="5"/>
      <c r="P108" s="5"/>
      <c r="Q108" s="5"/>
      <c r="R108" s="5"/>
    </row>
    <row r="109" spans="1:18" x14ac:dyDescent="0.2">
      <c r="A109" s="64" t="s">
        <v>1569</v>
      </c>
      <c r="B109" s="5">
        <f>(B104+B105)/B28</f>
        <v>3.6592863700535276</v>
      </c>
      <c r="C109" s="64" t="s">
        <v>1570</v>
      </c>
      <c r="D109" s="5"/>
      <c r="E109" s="5"/>
      <c r="F109" s="5"/>
      <c r="G109" s="5"/>
      <c r="H109" s="5"/>
      <c r="I109" s="64" t="s">
        <v>1569</v>
      </c>
      <c r="J109" s="5">
        <f>B109*145.03</f>
        <v>530.70630224886315</v>
      </c>
      <c r="K109" s="64" t="s">
        <v>1570</v>
      </c>
      <c r="L109" s="5"/>
      <c r="M109" s="5"/>
      <c r="N109" s="5"/>
      <c r="O109" s="5"/>
      <c r="P109" s="5"/>
      <c r="Q109" s="5"/>
      <c r="R109" s="5"/>
    </row>
    <row r="110" spans="1:18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x14ac:dyDescent="0.2">
      <c r="A111" s="64" t="s">
        <v>1571</v>
      </c>
      <c r="B111" s="5"/>
      <c r="C111" s="5"/>
      <c r="D111" s="5"/>
      <c r="E111" s="5"/>
      <c r="F111" s="5"/>
      <c r="G111" s="5"/>
      <c r="H111" s="5"/>
      <c r="I111" s="64" t="s">
        <v>1571</v>
      </c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2">
      <c r="A112" s="64" t="s">
        <v>990</v>
      </c>
      <c r="B112" s="5">
        <f>1800000*B28*2/(B20*1000)</f>
        <v>923.07692307692309</v>
      </c>
      <c r="C112" s="64" t="s">
        <v>1572</v>
      </c>
      <c r="D112" s="5"/>
      <c r="E112" s="5"/>
      <c r="F112" s="5"/>
      <c r="G112" s="5"/>
      <c r="H112" s="5"/>
      <c r="I112" s="64" t="s">
        <v>990</v>
      </c>
      <c r="J112" s="5">
        <f>B112</f>
        <v>923.07692307692309</v>
      </c>
      <c r="K112" s="64" t="s">
        <v>1572</v>
      </c>
      <c r="L112" s="5"/>
      <c r="M112" s="265">
        <f>J112/MAX(J108,J109)</f>
        <v>1.5083265316469363</v>
      </c>
      <c r="N112" s="450" t="str">
        <f>IF(M112&gt;1,"OK","ERROR")</f>
        <v>OK</v>
      </c>
      <c r="O112" s="5"/>
      <c r="P112" s="5"/>
      <c r="Q112" s="5"/>
      <c r="R112" s="5"/>
    </row>
    <row r="113" spans="1:18" x14ac:dyDescent="0.2">
      <c r="A113" s="5"/>
      <c r="B113" s="5">
        <f>B112/145</f>
        <v>6.3660477453580899</v>
      </c>
      <c r="C113" s="64" t="s">
        <v>1573</v>
      </c>
      <c r="D113" s="5"/>
      <c r="E113" s="5"/>
      <c r="F113" s="5"/>
      <c r="G113" s="5"/>
      <c r="H113" s="5"/>
      <c r="I113" s="5"/>
      <c r="J113" s="5"/>
      <c r="K113" s="64"/>
      <c r="L113" s="5"/>
      <c r="M113" s="5"/>
      <c r="N113" s="5"/>
      <c r="O113" s="5"/>
      <c r="P113" s="5"/>
      <c r="Q113" s="5"/>
      <c r="R113" s="5"/>
    </row>
    <row r="114" spans="1:18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x14ac:dyDescent="0.2">
      <c r="A115" s="5"/>
      <c r="B115" s="5">
        <f>B113/MAX(B108,B109)</f>
        <v>1.5086385992052083</v>
      </c>
      <c r="C115" s="450" t="str">
        <f>IF(B115&gt;1,"OK","ERROR")</f>
        <v>OK</v>
      </c>
      <c r="D115" s="5"/>
      <c r="E115" s="5"/>
      <c r="F115" s="5"/>
      <c r="G115" s="5"/>
      <c r="H115" s="5"/>
      <c r="I115" s="423" t="s">
        <v>959</v>
      </c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2">
      <c r="A116" s="5"/>
      <c r="B116" s="5"/>
      <c r="C116" s="5"/>
      <c r="D116" s="5"/>
      <c r="E116" s="5"/>
      <c r="F116" s="5"/>
      <c r="G116" s="5"/>
      <c r="H116" s="5"/>
      <c r="I116" s="424" t="s">
        <v>960</v>
      </c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ht="25.5" customHeight="1" x14ac:dyDescent="0.2">
      <c r="A122" s="5"/>
      <c r="B122" s="5"/>
      <c r="C122" s="5"/>
      <c r="D122" s="5">
        <f>M123</f>
        <v>27977.040000000005</v>
      </c>
      <c r="E122" s="5"/>
      <c r="F122" s="5"/>
      <c r="G122" s="5"/>
      <c r="H122" s="5"/>
      <c r="I122" s="5"/>
      <c r="J122" s="118" t="s">
        <v>965</v>
      </c>
      <c r="K122" s="118" t="s">
        <v>966</v>
      </c>
      <c r="L122" s="118" t="s">
        <v>974</v>
      </c>
      <c r="M122" s="118" t="s">
        <v>983</v>
      </c>
      <c r="N122" s="118" t="s">
        <v>961</v>
      </c>
      <c r="O122" s="425" t="s">
        <v>1574</v>
      </c>
      <c r="P122" s="295" t="s">
        <v>1575</v>
      </c>
      <c r="Q122" s="5"/>
      <c r="R122" s="5"/>
    </row>
    <row r="123" spans="1:18" x14ac:dyDescent="0.2">
      <c r="A123" s="5"/>
      <c r="B123" s="5"/>
      <c r="C123" s="5"/>
      <c r="D123" s="5"/>
      <c r="E123" s="5"/>
      <c r="F123" s="5"/>
      <c r="G123" s="5"/>
      <c r="H123" s="5"/>
      <c r="I123" s="5">
        <v>1</v>
      </c>
      <c r="J123" s="5">
        <f t="shared" ref="J123:J132" si="24">(E28*9.8/($B$20^2*PI()/4))</f>
        <v>1571.1110254431749</v>
      </c>
      <c r="K123" s="263">
        <f t="shared" ref="K123:K132" si="25">$F$126</f>
        <v>62603.189999999988</v>
      </c>
      <c r="L123" s="64">
        <f t="shared" ref="L123:L132" si="26">C126</f>
        <v>73276.21085784999</v>
      </c>
      <c r="M123" s="5">
        <f t="shared" ref="M123:M132" si="27">$D$138</f>
        <v>27977.040000000005</v>
      </c>
      <c r="N123" s="5">
        <f>1.35*J123+1.5*L123+1.35*K123+1.5*0.9*((M123/2))+B142</f>
        <v>242133.18154967908</v>
      </c>
      <c r="O123" s="64">
        <f t="shared" ref="O123:O132" si="28">N123*1000/($B$17*1000000)/$B$19</f>
        <v>3.3006158880817758</v>
      </c>
      <c r="P123" s="14">
        <f t="shared" ref="P123:P132" si="29">B28</f>
        <v>6</v>
      </c>
      <c r="Q123" s="5"/>
      <c r="R123" s="5"/>
    </row>
    <row r="124" spans="1:18" x14ac:dyDescent="0.2">
      <c r="A124" s="5"/>
      <c r="B124" s="212"/>
      <c r="C124" s="5"/>
      <c r="D124" s="5"/>
      <c r="E124" s="5"/>
      <c r="F124" s="5"/>
      <c r="G124" s="5"/>
      <c r="H124" s="5"/>
      <c r="I124" s="5">
        <v>2</v>
      </c>
      <c r="J124" s="5">
        <f t="shared" si="24"/>
        <v>1391.8765639047131</v>
      </c>
      <c r="K124" s="263">
        <f t="shared" si="25"/>
        <v>62603.189999999988</v>
      </c>
      <c r="L124" s="64">
        <f t="shared" si="26"/>
        <v>49942.01797584998</v>
      </c>
      <c r="M124" s="5">
        <f t="shared" si="27"/>
        <v>27977.040000000005</v>
      </c>
      <c r="N124" s="5">
        <f>1.35*J124+1.5*L124+1.35*K124+1.5*0.9*((M124/2))+B143</f>
        <v>180190.86882504632</v>
      </c>
      <c r="O124" s="64">
        <f t="shared" si="28"/>
        <v>2.4562550276042305</v>
      </c>
      <c r="P124" s="14">
        <f t="shared" si="29"/>
        <v>6</v>
      </c>
      <c r="Q124" s="5"/>
      <c r="R124" s="5"/>
    </row>
    <row r="125" spans="1:18" ht="22.5" customHeight="1" x14ac:dyDescent="0.2">
      <c r="A125" s="5"/>
      <c r="B125" s="593" t="s">
        <v>1576</v>
      </c>
      <c r="C125" s="118" t="s">
        <v>1577</v>
      </c>
      <c r="D125" s="5"/>
      <c r="E125" s="594" t="s">
        <v>1578</v>
      </c>
      <c r="F125" s="118" t="s">
        <v>940</v>
      </c>
      <c r="G125" s="5"/>
      <c r="H125" s="5"/>
      <c r="I125" s="5">
        <v>3</v>
      </c>
      <c r="J125" s="5">
        <f t="shared" si="24"/>
        <v>1212.6421023662515</v>
      </c>
      <c r="K125" s="263">
        <f t="shared" si="25"/>
        <v>62603.189999999988</v>
      </c>
      <c r="L125" s="64">
        <f t="shared" si="26"/>
        <v>26607.825093849991</v>
      </c>
      <c r="M125" s="5">
        <f t="shared" si="27"/>
        <v>27977.040000000005</v>
      </c>
      <c r="N125" s="5">
        <f t="shared" ref="N125:N132" si="30">1.35*J125+1.5*L125+1.35*K125+1.5*0.9*((M125/2))+B150</f>
        <v>144947.61297896941</v>
      </c>
      <c r="O125" s="64">
        <f t="shared" si="28"/>
        <v>1.9758398715780998</v>
      </c>
      <c r="P125" s="14">
        <f t="shared" si="29"/>
        <v>6</v>
      </c>
      <c r="Q125" s="5"/>
      <c r="R125" s="5"/>
    </row>
    <row r="126" spans="1:18" x14ac:dyDescent="0.2">
      <c r="A126" s="5">
        <v>1</v>
      </c>
      <c r="B126" s="5">
        <f t="shared" ref="B126:B134" si="31">$B$13*D28*0.0000098</f>
        <v>6.2629240049444437E-3</v>
      </c>
      <c r="C126" s="5">
        <f t="shared" ref="C126:C134" si="32">B126*$B$20*1000000/2</f>
        <v>73276.21085784999</v>
      </c>
      <c r="D126" s="5"/>
      <c r="E126" s="5">
        <f>$B$14*0.1-$B$15*0.1</f>
        <v>5.3506999999999999E-3</v>
      </c>
      <c r="F126" s="5">
        <f>E126*$B$20*1000000/2</f>
        <v>62603.189999999988</v>
      </c>
      <c r="G126" s="5"/>
      <c r="H126" s="5"/>
      <c r="I126" s="5">
        <v>4</v>
      </c>
      <c r="J126" s="5">
        <f t="shared" si="24"/>
        <v>1033.4076408277901</v>
      </c>
      <c r="K126" s="263">
        <f t="shared" si="25"/>
        <v>62603.189999999988</v>
      </c>
      <c r="L126" s="64">
        <f t="shared" si="26"/>
        <v>3273.6322118499929</v>
      </c>
      <c r="M126" s="5">
        <f t="shared" si="27"/>
        <v>27977.040000000005</v>
      </c>
      <c r="N126" s="5">
        <f t="shared" si="30"/>
        <v>109704.3571328925</v>
      </c>
      <c r="O126" s="64">
        <f t="shared" si="28"/>
        <v>1.49542471555197</v>
      </c>
      <c r="P126" s="14">
        <f t="shared" si="29"/>
        <v>6</v>
      </c>
      <c r="Q126" s="5"/>
      <c r="R126" s="5"/>
    </row>
    <row r="127" spans="1:18" x14ac:dyDescent="0.2">
      <c r="A127" s="5">
        <v>2</v>
      </c>
      <c r="B127" s="5">
        <f t="shared" si="31"/>
        <v>4.2685485449444434E-3</v>
      </c>
      <c r="C127" s="5">
        <f t="shared" si="32"/>
        <v>49942.01797584998</v>
      </c>
      <c r="D127" s="5"/>
      <c r="E127" s="5"/>
      <c r="F127" s="5"/>
      <c r="G127" s="5"/>
      <c r="H127" s="5"/>
      <c r="I127" s="5">
        <v>5</v>
      </c>
      <c r="J127" s="5">
        <f t="shared" si="24"/>
        <v>854.17317928932846</v>
      </c>
      <c r="K127" s="263">
        <f t="shared" si="25"/>
        <v>62603.189999999988</v>
      </c>
      <c r="L127" s="64">
        <f t="shared" si="26"/>
        <v>0</v>
      </c>
      <c r="M127" s="5">
        <f t="shared" si="27"/>
        <v>27977.040000000005</v>
      </c>
      <c r="N127" s="5">
        <f t="shared" si="30"/>
        <v>104551.94229204059</v>
      </c>
      <c r="O127" s="64">
        <f t="shared" si="28"/>
        <v>1.4251900530539885</v>
      </c>
      <c r="P127" s="14">
        <f t="shared" si="29"/>
        <v>0</v>
      </c>
      <c r="Q127" s="5"/>
      <c r="R127" s="5"/>
    </row>
    <row r="128" spans="1:18" x14ac:dyDescent="0.2">
      <c r="A128" s="5">
        <v>3</v>
      </c>
      <c r="B128" s="5">
        <f t="shared" si="31"/>
        <v>2.2741730849444438E-3</v>
      </c>
      <c r="C128" s="5">
        <f t="shared" si="32"/>
        <v>26607.825093849991</v>
      </c>
      <c r="D128" s="5"/>
      <c r="E128" s="5"/>
      <c r="F128" s="5"/>
      <c r="G128" s="5"/>
      <c r="H128" s="5"/>
      <c r="I128" s="5">
        <v>6</v>
      </c>
      <c r="J128" s="5">
        <f t="shared" si="24"/>
        <v>854.17317928932846</v>
      </c>
      <c r="K128" s="263">
        <f t="shared" si="25"/>
        <v>62603.189999999988</v>
      </c>
      <c r="L128" s="64">
        <f t="shared" si="26"/>
        <v>0</v>
      </c>
      <c r="M128" s="5">
        <f t="shared" si="27"/>
        <v>27977.040000000005</v>
      </c>
      <c r="N128" s="5">
        <f t="shared" si="30"/>
        <v>104551.94229204059</v>
      </c>
      <c r="O128" s="64">
        <f t="shared" si="28"/>
        <v>1.4251900530539885</v>
      </c>
      <c r="P128" s="14">
        <f t="shared" si="29"/>
        <v>0</v>
      </c>
      <c r="Q128" s="5"/>
      <c r="R128" s="5"/>
    </row>
    <row r="129" spans="1:18" x14ac:dyDescent="0.2">
      <c r="A129" s="5">
        <v>4</v>
      </c>
      <c r="B129" s="5">
        <f t="shared" si="31"/>
        <v>2.7979762494444388E-4</v>
      </c>
      <c r="C129" s="5">
        <f t="shared" si="32"/>
        <v>3273.6322118499929</v>
      </c>
      <c r="D129" s="5"/>
      <c r="E129" s="5"/>
      <c r="F129" s="5"/>
      <c r="G129" s="5"/>
      <c r="H129" s="5"/>
      <c r="I129" s="5">
        <v>7</v>
      </c>
      <c r="J129" s="5">
        <f t="shared" si="24"/>
        <v>854.17317928932846</v>
      </c>
      <c r="K129" s="263">
        <f t="shared" si="25"/>
        <v>62603.189999999988</v>
      </c>
      <c r="L129" s="64">
        <f t="shared" si="26"/>
        <v>0</v>
      </c>
      <c r="M129" s="5">
        <f t="shared" si="27"/>
        <v>27977.040000000005</v>
      </c>
      <c r="N129" s="5">
        <f t="shared" si="30"/>
        <v>104551.94229204059</v>
      </c>
      <c r="O129" s="64">
        <f t="shared" si="28"/>
        <v>1.4251900530539885</v>
      </c>
      <c r="P129" s="14">
        <f t="shared" si="29"/>
        <v>0</v>
      </c>
      <c r="Q129" s="5"/>
      <c r="R129" s="5"/>
    </row>
    <row r="130" spans="1:18" x14ac:dyDescent="0.2">
      <c r="A130" s="5">
        <v>5</v>
      </c>
      <c r="B130" s="5">
        <f t="shared" si="31"/>
        <v>0</v>
      </c>
      <c r="C130" s="5">
        <f t="shared" si="32"/>
        <v>0</v>
      </c>
      <c r="D130" s="5"/>
      <c r="E130" s="5"/>
      <c r="F130" s="5"/>
      <c r="G130" s="5"/>
      <c r="H130" s="5"/>
      <c r="I130" s="5">
        <v>8</v>
      </c>
      <c r="J130" s="5">
        <f t="shared" si="24"/>
        <v>854.17317928932846</v>
      </c>
      <c r="K130" s="263">
        <f t="shared" si="25"/>
        <v>62603.189999999988</v>
      </c>
      <c r="L130" s="64">
        <f t="shared" si="26"/>
        <v>0</v>
      </c>
      <c r="M130" s="5">
        <f t="shared" si="27"/>
        <v>27977.040000000005</v>
      </c>
      <c r="N130" s="5">
        <f t="shared" si="30"/>
        <v>104551.94229204059</v>
      </c>
      <c r="O130" s="64">
        <f t="shared" si="28"/>
        <v>1.4251900530539885</v>
      </c>
      <c r="P130" s="14">
        <f t="shared" si="29"/>
        <v>0</v>
      </c>
      <c r="Q130" s="5"/>
      <c r="R130" s="5"/>
    </row>
    <row r="131" spans="1:18" x14ac:dyDescent="0.2">
      <c r="A131" s="5">
        <v>6</v>
      </c>
      <c r="B131" s="5">
        <f t="shared" si="31"/>
        <v>0</v>
      </c>
      <c r="C131" s="5">
        <f t="shared" si="32"/>
        <v>0</v>
      </c>
      <c r="D131" s="5"/>
      <c r="E131" s="5"/>
      <c r="F131" s="5"/>
      <c r="G131" s="5"/>
      <c r="H131" s="5"/>
      <c r="I131" s="5">
        <v>9</v>
      </c>
      <c r="J131" s="5">
        <f t="shared" si="24"/>
        <v>854.17317928932846</v>
      </c>
      <c r="K131" s="263">
        <f t="shared" si="25"/>
        <v>62603.189999999988</v>
      </c>
      <c r="L131" s="64">
        <f t="shared" si="26"/>
        <v>0</v>
      </c>
      <c r="M131" s="5">
        <f t="shared" si="27"/>
        <v>27977.040000000005</v>
      </c>
      <c r="N131" s="5">
        <f t="shared" si="30"/>
        <v>104551.94229204059</v>
      </c>
      <c r="O131" s="64">
        <f t="shared" si="28"/>
        <v>1.4251900530539885</v>
      </c>
      <c r="P131" s="14">
        <f t="shared" si="29"/>
        <v>0</v>
      </c>
      <c r="Q131" s="5"/>
      <c r="R131" s="5"/>
    </row>
    <row r="132" spans="1:18" x14ac:dyDescent="0.2">
      <c r="A132" s="5">
        <v>7</v>
      </c>
      <c r="B132" s="5">
        <f t="shared" si="31"/>
        <v>0</v>
      </c>
      <c r="C132" s="5">
        <f t="shared" si="32"/>
        <v>0</v>
      </c>
      <c r="D132" s="5"/>
      <c r="E132" s="5"/>
      <c r="F132" s="5"/>
      <c r="G132" s="5"/>
      <c r="H132" s="5"/>
      <c r="I132" s="5">
        <v>10</v>
      </c>
      <c r="J132" s="5">
        <f t="shared" si="24"/>
        <v>854.17317928932846</v>
      </c>
      <c r="K132" s="263">
        <f t="shared" si="25"/>
        <v>62603.189999999988</v>
      </c>
      <c r="L132" s="64">
        <f t="shared" si="26"/>
        <v>0</v>
      </c>
      <c r="M132" s="5">
        <f t="shared" si="27"/>
        <v>27977.040000000005</v>
      </c>
      <c r="N132" s="5">
        <f t="shared" si="30"/>
        <v>104551.94229204059</v>
      </c>
      <c r="O132" s="64">
        <f t="shared" si="28"/>
        <v>1.4251900530539885</v>
      </c>
      <c r="P132" s="14">
        <f t="shared" si="29"/>
        <v>0</v>
      </c>
      <c r="Q132" s="5"/>
      <c r="R132" s="5"/>
    </row>
    <row r="133" spans="1:18" ht="25.5" customHeight="1" x14ac:dyDescent="0.2">
      <c r="A133" s="5">
        <v>8</v>
      </c>
      <c r="B133" s="5">
        <f t="shared" si="31"/>
        <v>0</v>
      </c>
      <c r="C133" s="5">
        <f t="shared" si="32"/>
        <v>0</v>
      </c>
      <c r="D133" s="5"/>
      <c r="E133" s="5"/>
      <c r="F133" s="5"/>
      <c r="G133" s="5"/>
      <c r="H133" s="5"/>
      <c r="I133" s="5"/>
      <c r="J133" s="118" t="s">
        <v>1579</v>
      </c>
      <c r="K133" s="425" t="s">
        <v>1574</v>
      </c>
      <c r="L133" s="5"/>
      <c r="M133" s="170" t="s">
        <v>946</v>
      </c>
      <c r="N133" s="14"/>
      <c r="O133" s="5"/>
      <c r="P133" s="5"/>
      <c r="Q133" s="5"/>
      <c r="R133" s="5"/>
    </row>
    <row r="134" spans="1:18" x14ac:dyDescent="0.2">
      <c r="A134" s="5">
        <v>9</v>
      </c>
      <c r="B134" s="5">
        <f t="shared" si="31"/>
        <v>0</v>
      </c>
      <c r="C134" s="5">
        <f t="shared" si="32"/>
        <v>0</v>
      </c>
      <c r="D134" s="5"/>
      <c r="E134" s="5"/>
      <c r="F134" s="5"/>
      <c r="G134" s="5"/>
      <c r="H134" s="5"/>
      <c r="I134" s="5">
        <v>1</v>
      </c>
      <c r="J134" s="5">
        <f>1.35*J123+1.5*L123+1.35*K123+1.5*0.9*((M123))+B142/2</f>
        <v>247668.15511040119</v>
      </c>
      <c r="K134" s="5">
        <f t="shared" ref="K134:K143" si="33">J134*1000/($B$17*1000000)/$B$19</f>
        <v>3.3760653641003433</v>
      </c>
      <c r="L134" s="64"/>
      <c r="M134" s="265">
        <f t="shared" ref="M134:M143" si="34">P123/K134</f>
        <v>1.7772167754219075</v>
      </c>
      <c r="N134" s="450" t="str">
        <f t="shared" ref="N134:N143" si="35">IF(P123&gt;0,IF(M134&gt;1,"OK","ERROR"),"N/A")</f>
        <v>OK</v>
      </c>
      <c r="O134" s="64"/>
      <c r="P134" s="5"/>
      <c r="Q134" s="5"/>
      <c r="R134" s="5"/>
    </row>
    <row r="135" spans="1:18" x14ac:dyDescent="0.2">
      <c r="A135" s="5"/>
      <c r="B135" s="5"/>
      <c r="C135" s="5"/>
      <c r="D135" s="5"/>
      <c r="E135" s="5"/>
      <c r="F135" s="5"/>
      <c r="G135" s="5"/>
      <c r="H135" s="5"/>
      <c r="I135" s="5">
        <v>2</v>
      </c>
      <c r="J135" s="5">
        <f>1.35*J124+1.5*L124+1.35*K124+1.5*0.9*((M124))+B143/2</f>
        <v>199075.37082504632</v>
      </c>
      <c r="K135" s="5">
        <f t="shared" si="33"/>
        <v>2.713677355848505</v>
      </c>
      <c r="L135" s="5"/>
      <c r="M135" s="265">
        <f t="shared" si="34"/>
        <v>2.2110218766681409</v>
      </c>
      <c r="N135" s="450" t="str">
        <f t="shared" si="35"/>
        <v>OK</v>
      </c>
      <c r="O135" s="5"/>
      <c r="P135" s="5"/>
      <c r="Q135" s="5"/>
      <c r="R135" s="5"/>
    </row>
    <row r="136" spans="1:18" x14ac:dyDescent="0.2">
      <c r="A136" s="5"/>
      <c r="B136" s="5"/>
      <c r="C136" s="5"/>
      <c r="D136" s="5"/>
      <c r="E136" s="5"/>
      <c r="F136" s="5"/>
      <c r="G136" s="5"/>
      <c r="H136" s="5"/>
      <c r="I136" s="5">
        <v>3</v>
      </c>
      <c r="J136" s="5">
        <f t="shared" ref="J136:J143" si="36">1.35*J125+1.5*L125+1.35*K125+1.5*0.9*((M125))+B150/2</f>
        <v>163832.11497896942</v>
      </c>
      <c r="K136" s="5">
        <f t="shared" si="33"/>
        <v>2.2332621998223749</v>
      </c>
      <c r="L136" s="5"/>
      <c r="M136" s="265">
        <f t="shared" si="34"/>
        <v>2.6866527362873991</v>
      </c>
      <c r="N136" s="450" t="str">
        <f t="shared" si="35"/>
        <v>OK</v>
      </c>
      <c r="O136" s="5"/>
      <c r="P136" s="5"/>
      <c r="Q136" s="5"/>
      <c r="R136" s="5"/>
    </row>
    <row r="137" spans="1:18" x14ac:dyDescent="0.2">
      <c r="A137" s="5"/>
      <c r="B137" s="5"/>
      <c r="C137" s="5"/>
      <c r="D137" s="5"/>
      <c r="E137" s="5"/>
      <c r="F137" s="5"/>
      <c r="G137" s="5"/>
      <c r="H137" s="5"/>
      <c r="I137" s="5">
        <v>4</v>
      </c>
      <c r="J137" s="5">
        <f t="shared" si="36"/>
        <v>128588.85913289251</v>
      </c>
      <c r="K137" s="5">
        <f t="shared" si="33"/>
        <v>1.7528470437962447</v>
      </c>
      <c r="L137" s="5"/>
      <c r="M137" s="265">
        <f t="shared" si="34"/>
        <v>3.4230026066652366</v>
      </c>
      <c r="N137" s="450" t="str">
        <f t="shared" si="35"/>
        <v>OK</v>
      </c>
      <c r="O137" s="5"/>
      <c r="P137" s="5"/>
      <c r="Q137" s="5"/>
      <c r="R137" s="5"/>
    </row>
    <row r="138" spans="1:18" x14ac:dyDescent="0.2">
      <c r="A138" s="118" t="s">
        <v>983</v>
      </c>
      <c r="B138" s="5">
        <f>B102/1000000</f>
        <v>2.3912000000000004E-3</v>
      </c>
      <c r="C138" s="64" t="s">
        <v>925</v>
      </c>
      <c r="D138" s="5">
        <f>B138*$B$20*1000000/2</f>
        <v>27977.040000000005</v>
      </c>
      <c r="E138" s="64" t="s">
        <v>940</v>
      </c>
      <c r="F138" s="5"/>
      <c r="G138" s="5"/>
      <c r="H138" s="5"/>
      <c r="I138" s="5">
        <v>5</v>
      </c>
      <c r="J138" s="5">
        <f t="shared" si="36"/>
        <v>123436.4442920406</v>
      </c>
      <c r="K138" s="5">
        <f t="shared" si="33"/>
        <v>1.6826123812982634</v>
      </c>
      <c r="L138" s="5"/>
      <c r="M138" s="265">
        <f t="shared" si="34"/>
        <v>0</v>
      </c>
      <c r="N138" s="450" t="str">
        <f t="shared" si="35"/>
        <v>N/A</v>
      </c>
      <c r="O138" s="5"/>
      <c r="P138" s="5"/>
      <c r="Q138" s="5"/>
      <c r="R138" s="5"/>
    </row>
    <row r="139" spans="1:18" x14ac:dyDescent="0.2">
      <c r="A139" s="5"/>
      <c r="B139" s="5"/>
      <c r="C139" s="5"/>
      <c r="D139" s="5"/>
      <c r="E139" s="5"/>
      <c r="F139" s="5"/>
      <c r="G139" s="5"/>
      <c r="H139" s="5"/>
      <c r="I139" s="5">
        <v>6</v>
      </c>
      <c r="J139" s="5">
        <f t="shared" si="36"/>
        <v>123436.4442920406</v>
      </c>
      <c r="K139" s="5">
        <f t="shared" si="33"/>
        <v>1.6826123812982634</v>
      </c>
      <c r="L139" s="5"/>
      <c r="M139" s="265">
        <f t="shared" si="34"/>
        <v>0</v>
      </c>
      <c r="N139" s="450" t="str">
        <f t="shared" si="35"/>
        <v>N/A</v>
      </c>
      <c r="O139" s="5"/>
      <c r="P139" s="5"/>
      <c r="Q139" s="5"/>
      <c r="R139" s="5"/>
    </row>
    <row r="140" spans="1:18" x14ac:dyDescent="0.2">
      <c r="A140" s="118" t="s">
        <v>197</v>
      </c>
      <c r="B140" s="5">
        <f>'Wind Forces'!F32</f>
        <v>2.2819706733808376</v>
      </c>
      <c r="C140" s="64" t="s">
        <v>1580</v>
      </c>
      <c r="D140" s="5"/>
      <c r="E140" s="5"/>
      <c r="F140" s="5"/>
      <c r="G140" s="5"/>
      <c r="H140" s="5"/>
      <c r="I140" s="5">
        <v>7</v>
      </c>
      <c r="J140" s="5">
        <f t="shared" si="36"/>
        <v>123436.4442920406</v>
      </c>
      <c r="K140" s="5">
        <f t="shared" si="33"/>
        <v>1.6826123812982634</v>
      </c>
      <c r="L140" s="5"/>
      <c r="M140" s="265">
        <f t="shared" si="34"/>
        <v>0</v>
      </c>
      <c r="N140" s="450" t="str">
        <f t="shared" si="35"/>
        <v>N/A</v>
      </c>
      <c r="O140" s="5"/>
      <c r="P140" s="5"/>
      <c r="Q140" s="5"/>
      <c r="R140" s="5"/>
    </row>
    <row r="141" spans="1:18" x14ac:dyDescent="0.2">
      <c r="A141" s="5"/>
      <c r="B141" s="5">
        <f>B140*0.001</f>
        <v>2.2819706733808376E-3</v>
      </c>
      <c r="C141" s="64" t="s">
        <v>925</v>
      </c>
      <c r="D141" s="5"/>
      <c r="E141" s="5"/>
      <c r="F141" s="5"/>
      <c r="G141" s="5"/>
      <c r="H141" s="5"/>
      <c r="I141" s="5">
        <v>8</v>
      </c>
      <c r="J141" s="5">
        <f t="shared" si="36"/>
        <v>123436.4442920406</v>
      </c>
      <c r="K141" s="5">
        <f t="shared" si="33"/>
        <v>1.6826123812982634</v>
      </c>
      <c r="L141" s="5"/>
      <c r="M141" s="265">
        <f t="shared" si="34"/>
        <v>0</v>
      </c>
      <c r="N141" s="450" t="str">
        <f t="shared" si="35"/>
        <v>N/A</v>
      </c>
      <c r="O141" s="5"/>
      <c r="P141" s="5"/>
      <c r="Q141" s="5"/>
      <c r="R141" s="5"/>
    </row>
    <row r="142" spans="1:18" x14ac:dyDescent="0.2">
      <c r="A142" s="5"/>
      <c r="B142" s="5">
        <f>B141*$B$20*1000000/2</f>
        <v>26699.056878555795</v>
      </c>
      <c r="C142" s="64" t="s">
        <v>940</v>
      </c>
      <c r="D142" s="5"/>
      <c r="E142" s="5"/>
      <c r="F142" s="5"/>
      <c r="G142" s="5"/>
      <c r="H142" s="5"/>
      <c r="I142" s="5">
        <v>9</v>
      </c>
      <c r="J142" s="5">
        <f t="shared" si="36"/>
        <v>123436.4442920406</v>
      </c>
      <c r="K142" s="5">
        <f t="shared" si="33"/>
        <v>1.6826123812982634</v>
      </c>
      <c r="L142" s="5"/>
      <c r="M142" s="265">
        <f t="shared" si="34"/>
        <v>0</v>
      </c>
      <c r="N142" s="450" t="str">
        <f t="shared" si="35"/>
        <v>N/A</v>
      </c>
      <c r="O142" s="5"/>
      <c r="P142" s="5"/>
      <c r="Q142" s="5"/>
      <c r="R142" s="5"/>
    </row>
    <row r="143" spans="1:18" ht="13.5" customHeight="1" thickBot="1" x14ac:dyDescent="0.25">
      <c r="A143" s="5"/>
      <c r="B143" s="5"/>
      <c r="C143" s="5"/>
      <c r="D143" s="5"/>
      <c r="E143" s="5"/>
      <c r="F143" s="5"/>
      <c r="G143" s="5"/>
      <c r="H143" s="5"/>
      <c r="I143" s="5">
        <v>10</v>
      </c>
      <c r="J143" s="5">
        <f t="shared" si="36"/>
        <v>123436.4442920406</v>
      </c>
      <c r="K143" s="5">
        <f t="shared" si="33"/>
        <v>1.6826123812982634</v>
      </c>
      <c r="L143" s="5"/>
      <c r="M143" s="265">
        <f t="shared" si="34"/>
        <v>0</v>
      </c>
      <c r="N143" s="450" t="str">
        <f t="shared" si="35"/>
        <v>N/A</v>
      </c>
      <c r="O143" s="5"/>
      <c r="P143" s="5"/>
      <c r="Q143" s="5"/>
      <c r="R143" s="5"/>
    </row>
    <row r="144" spans="1:18" ht="17.25" customHeight="1" thickTop="1" thickBot="1" x14ac:dyDescent="0.3">
      <c r="A144" s="5"/>
      <c r="B144" s="5"/>
      <c r="C144" s="5"/>
      <c r="D144" s="5"/>
      <c r="E144" s="5"/>
      <c r="F144" s="5"/>
      <c r="G144" s="5"/>
      <c r="H144" s="5"/>
      <c r="I144" s="988"/>
      <c r="J144" s="823"/>
      <c r="K144" s="871"/>
      <c r="L144" s="934" t="str">
        <f>'Front Page'!$A$13</f>
        <v>Mechanical  Calculations</v>
      </c>
      <c r="M144" s="842"/>
      <c r="N144" s="842"/>
      <c r="O144" s="842"/>
      <c r="P144" s="859"/>
      <c r="Q144" s="5"/>
      <c r="R144" s="5"/>
    </row>
    <row r="145" spans="1:18" ht="16.5" customHeight="1" thickBot="1" x14ac:dyDescent="0.3">
      <c r="A145" s="5"/>
      <c r="B145" s="5"/>
      <c r="C145" s="5"/>
      <c r="D145" s="5"/>
      <c r="E145" s="5"/>
      <c r="F145" s="5"/>
      <c r="G145" s="5"/>
      <c r="H145" s="5"/>
      <c r="I145" s="825"/>
      <c r="J145" s="809"/>
      <c r="K145" s="989"/>
      <c r="L145" s="984"/>
      <c r="M145" s="831"/>
      <c r="N145" s="831"/>
      <c r="O145" s="831"/>
      <c r="P145" s="854"/>
      <c r="Q145" s="5"/>
      <c r="R145" s="5"/>
    </row>
    <row r="146" spans="1:18" ht="16.5" customHeight="1" thickBot="1" x14ac:dyDescent="0.3">
      <c r="A146" s="5"/>
      <c r="B146" s="5"/>
      <c r="C146" s="5"/>
      <c r="D146" s="5"/>
      <c r="E146" s="5"/>
      <c r="F146" s="5"/>
      <c r="G146" s="5"/>
      <c r="H146" s="5"/>
      <c r="I146" s="827"/>
      <c r="J146" s="828"/>
      <c r="K146" s="857"/>
      <c r="L146" s="985" t="s">
        <v>1525</v>
      </c>
      <c r="M146" s="834"/>
      <c r="N146" s="834"/>
      <c r="O146" s="834"/>
      <c r="P146" s="986"/>
      <c r="Q146" s="5"/>
      <c r="R146" s="5"/>
    </row>
    <row r="147" spans="1:18" ht="16.5" customHeight="1" thickTop="1" thickBot="1" x14ac:dyDescent="0.3">
      <c r="A147" s="5"/>
      <c r="B147" s="5"/>
      <c r="C147" s="5"/>
      <c r="D147" s="5"/>
      <c r="E147" s="5"/>
      <c r="F147" s="5"/>
      <c r="G147" s="5"/>
      <c r="H147" s="5"/>
      <c r="I147" s="873"/>
      <c r="J147" s="848"/>
      <c r="K147" s="865"/>
      <c r="L147" s="385" t="str">
        <f>'Front Page'!$D$4</f>
        <v>Doc Nº</v>
      </c>
      <c r="M147" s="980"/>
      <c r="N147" s="843"/>
      <c r="O147" s="980"/>
      <c r="P147" s="843"/>
      <c r="Q147" s="5"/>
      <c r="R147" s="5"/>
    </row>
    <row r="148" spans="1:18" ht="15.75" customHeight="1" thickBot="1" x14ac:dyDescent="0.3">
      <c r="A148" s="5"/>
      <c r="B148" s="5"/>
      <c r="C148" s="5"/>
      <c r="D148" s="5"/>
      <c r="E148" s="5"/>
      <c r="F148" s="5"/>
      <c r="G148" s="5"/>
      <c r="H148" s="5"/>
      <c r="I148" s="860"/>
      <c r="J148" s="851"/>
      <c r="K148" s="861"/>
      <c r="L148" s="386" t="str">
        <f>'Front Page'!$D$5</f>
        <v>Project</v>
      </c>
      <c r="M148" s="899"/>
      <c r="N148" s="835"/>
      <c r="O148" s="131" t="s">
        <v>5</v>
      </c>
      <c r="P148" s="427"/>
      <c r="Q148" s="5"/>
      <c r="R148" s="5"/>
    </row>
    <row r="149" spans="1:18" ht="13.5" customHeight="1" thickTop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ht="25.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425" t="s">
        <v>1574</v>
      </c>
      <c r="M153" s="425" t="s">
        <v>1574</v>
      </c>
      <c r="N153" s="5"/>
      <c r="O153" s="5"/>
      <c r="P153" s="5"/>
      <c r="Q153" s="5"/>
      <c r="R153" s="5"/>
    </row>
    <row r="154" spans="1:18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118" t="s">
        <v>961</v>
      </c>
      <c r="K154" s="118" t="s">
        <v>1579</v>
      </c>
      <c r="L154" s="5"/>
      <c r="M154" s="5"/>
      <c r="N154" s="5"/>
      <c r="O154" s="5"/>
      <c r="P154" s="5"/>
      <c r="Q154" s="5"/>
      <c r="R154" s="5"/>
    </row>
    <row r="155" spans="1:18" x14ac:dyDescent="0.2">
      <c r="A155" s="5"/>
      <c r="B155" s="5"/>
      <c r="C155" s="5"/>
      <c r="D155" s="5"/>
      <c r="E155" s="5"/>
      <c r="F155" s="5"/>
      <c r="G155" s="5"/>
      <c r="H155" s="5"/>
      <c r="I155" s="5">
        <v>1</v>
      </c>
      <c r="J155" s="5">
        <f>1.35*K123+1.5*B142+1.5*L123</f>
        <v>234477.20810460867</v>
      </c>
      <c r="K155" s="5">
        <f>1.35*K123+1.5*B142/2+1.5*L123</f>
        <v>214452.91544569185</v>
      </c>
      <c r="L155" s="5">
        <f t="shared" ref="L155:L164" si="37">J155*1000/($B$17*1000000)/$B$19</f>
        <v>3.1962541998992458</v>
      </c>
      <c r="M155" s="5">
        <f t="shared" ref="M155:M164" si="38">K155*1000/($B$17*1000000)/$B$19</f>
        <v>2.9232949215606854</v>
      </c>
      <c r="N155" s="5"/>
      <c r="O155" s="5"/>
      <c r="P155" s="5"/>
      <c r="Q155" s="5"/>
      <c r="R155" s="5"/>
    </row>
    <row r="156" spans="1:18" x14ac:dyDescent="0.2">
      <c r="A156" s="5"/>
      <c r="B156" s="5"/>
      <c r="C156" s="5"/>
      <c r="D156" s="5"/>
      <c r="E156" s="5"/>
      <c r="F156" s="5"/>
      <c r="G156" s="5"/>
      <c r="H156" s="5"/>
      <c r="I156" s="5">
        <v>2</v>
      </c>
      <c r="J156" s="5">
        <f>1.35*K124+1.5*B143+1.5*L124</f>
        <v>159427.33346377496</v>
      </c>
      <c r="K156" s="5">
        <f>1.35*K124+1.5*B143/2+1.5*L124</f>
        <v>159427.33346377496</v>
      </c>
      <c r="L156" s="5">
        <f t="shared" si="37"/>
        <v>2.1732188312946428</v>
      </c>
      <c r="M156" s="5">
        <f t="shared" si="38"/>
        <v>2.1732188312946428</v>
      </c>
      <c r="N156" s="5"/>
      <c r="O156" s="5"/>
      <c r="P156" s="5"/>
      <c r="Q156" s="5"/>
      <c r="R156" s="5"/>
    </row>
    <row r="157" spans="1:18" x14ac:dyDescent="0.2">
      <c r="A157" s="5"/>
      <c r="B157" s="5"/>
      <c r="C157" s="5"/>
      <c r="D157" s="5"/>
      <c r="E157" s="5"/>
      <c r="F157" s="5"/>
      <c r="G157" s="5"/>
      <c r="H157" s="5"/>
      <c r="I157" s="5">
        <v>3</v>
      </c>
      <c r="J157" s="5">
        <f t="shared" ref="J157:J164" si="39">1.35*K125+1.5*B150+1.5*L125</f>
        <v>124426.04414077497</v>
      </c>
      <c r="K157" s="5">
        <f t="shared" ref="K157:K164" si="40">1.35*K125+1.5*B150/2+1.5*L125</f>
        <v>124426.04414077497</v>
      </c>
      <c r="L157" s="5">
        <f t="shared" si="37"/>
        <v>1.6961020193671619</v>
      </c>
      <c r="M157" s="5">
        <f t="shared" si="38"/>
        <v>1.6961020193671619</v>
      </c>
      <c r="N157" s="5"/>
      <c r="O157" s="5"/>
      <c r="P157" s="5"/>
      <c r="Q157" s="5"/>
      <c r="R157" s="5"/>
    </row>
    <row r="158" spans="1:18" x14ac:dyDescent="0.2">
      <c r="A158" s="5"/>
      <c r="B158" s="5"/>
      <c r="C158" s="5"/>
      <c r="D158" s="5"/>
      <c r="E158" s="5"/>
      <c r="F158" s="5"/>
      <c r="G158" s="5"/>
      <c r="H158" s="5"/>
      <c r="I158" s="5">
        <v>4</v>
      </c>
      <c r="J158" s="5">
        <f t="shared" si="39"/>
        <v>89424.754817774985</v>
      </c>
      <c r="K158" s="5">
        <f t="shared" si="40"/>
        <v>89424.754817774985</v>
      </c>
      <c r="L158" s="5">
        <f t="shared" si="37"/>
        <v>1.2189852074396808</v>
      </c>
      <c r="M158" s="5">
        <f t="shared" si="38"/>
        <v>1.2189852074396808</v>
      </c>
      <c r="N158" s="5"/>
      <c r="O158" s="5"/>
      <c r="P158" s="5"/>
      <c r="Q158" s="5"/>
      <c r="R158" s="5"/>
    </row>
    <row r="159" spans="1:18" x14ac:dyDescent="0.2">
      <c r="A159" s="5"/>
      <c r="B159" s="5"/>
      <c r="C159" s="5"/>
      <c r="D159" s="5"/>
      <c r="E159" s="5"/>
      <c r="F159" s="5"/>
      <c r="G159" s="5"/>
      <c r="H159" s="5"/>
      <c r="I159" s="5">
        <v>5</v>
      </c>
      <c r="J159" s="5">
        <f t="shared" si="39"/>
        <v>84514.306499999992</v>
      </c>
      <c r="K159" s="5">
        <f t="shared" si="40"/>
        <v>84514.306499999992</v>
      </c>
      <c r="L159" s="5">
        <f t="shared" si="37"/>
        <v>1.1520488890403489</v>
      </c>
      <c r="M159" s="5">
        <f t="shared" si="38"/>
        <v>1.1520488890403489</v>
      </c>
      <c r="N159" s="5"/>
      <c r="O159" s="5"/>
      <c r="P159" s="5"/>
      <c r="Q159" s="5"/>
      <c r="R159" s="5"/>
    </row>
    <row r="160" spans="1:18" x14ac:dyDescent="0.2">
      <c r="A160" s="5"/>
      <c r="B160" s="5"/>
      <c r="C160" s="5"/>
      <c r="D160" s="5"/>
      <c r="E160" s="5"/>
      <c r="F160" s="5"/>
      <c r="G160" s="5"/>
      <c r="H160" s="5"/>
      <c r="I160" s="5">
        <v>6</v>
      </c>
      <c r="J160" s="5">
        <f t="shared" si="39"/>
        <v>84514.306499999992</v>
      </c>
      <c r="K160" s="5">
        <f t="shared" si="40"/>
        <v>84514.306499999992</v>
      </c>
      <c r="L160" s="5">
        <f t="shared" si="37"/>
        <v>1.1520488890403489</v>
      </c>
      <c r="M160" s="5">
        <f t="shared" si="38"/>
        <v>1.1520488890403489</v>
      </c>
      <c r="N160" s="5"/>
      <c r="O160" s="5"/>
      <c r="P160" s="5"/>
      <c r="Q160" s="5"/>
      <c r="R160" s="5"/>
    </row>
    <row r="161" spans="1:18" x14ac:dyDescent="0.2">
      <c r="A161" s="5"/>
      <c r="B161" s="5"/>
      <c r="C161" s="5"/>
      <c r="D161" s="5"/>
      <c r="E161" s="5"/>
      <c r="F161" s="5"/>
      <c r="G161" s="5"/>
      <c r="H161" s="5"/>
      <c r="I161" s="5">
        <v>7</v>
      </c>
      <c r="J161" s="5">
        <f t="shared" si="39"/>
        <v>84514.306499999992</v>
      </c>
      <c r="K161" s="5">
        <f t="shared" si="40"/>
        <v>84514.306499999992</v>
      </c>
      <c r="L161" s="5">
        <f t="shared" si="37"/>
        <v>1.1520488890403489</v>
      </c>
      <c r="M161" s="5">
        <f t="shared" si="38"/>
        <v>1.1520488890403489</v>
      </c>
      <c r="N161" s="5"/>
      <c r="O161" s="5"/>
      <c r="P161" s="5"/>
      <c r="Q161" s="5"/>
      <c r="R161" s="5"/>
    </row>
    <row r="162" spans="1:18" x14ac:dyDescent="0.2">
      <c r="A162" s="5"/>
      <c r="B162" s="5"/>
      <c r="C162" s="5"/>
      <c r="D162" s="5"/>
      <c r="E162" s="5"/>
      <c r="F162" s="5"/>
      <c r="G162" s="5"/>
      <c r="H162" s="5"/>
      <c r="I162" s="5">
        <v>8</v>
      </c>
      <c r="J162" s="5">
        <f t="shared" si="39"/>
        <v>84514.306499999992</v>
      </c>
      <c r="K162" s="5">
        <f t="shared" si="40"/>
        <v>84514.306499999992</v>
      </c>
      <c r="L162" s="5">
        <f t="shared" si="37"/>
        <v>1.1520488890403489</v>
      </c>
      <c r="M162" s="5">
        <f t="shared" si="38"/>
        <v>1.1520488890403489</v>
      </c>
      <c r="N162" s="5"/>
      <c r="O162" s="5"/>
      <c r="P162" s="5"/>
      <c r="Q162" s="5"/>
      <c r="R162" s="5"/>
    </row>
    <row r="163" spans="1:18" x14ac:dyDescent="0.2">
      <c r="A163" s="5"/>
      <c r="B163" s="5"/>
      <c r="C163" s="5"/>
      <c r="D163" s="5"/>
      <c r="E163" s="5"/>
      <c r="F163" s="5"/>
      <c r="G163" s="5"/>
      <c r="H163" s="5"/>
      <c r="I163" s="5">
        <v>9</v>
      </c>
      <c r="J163" s="5">
        <f t="shared" si="39"/>
        <v>84514.306499999992</v>
      </c>
      <c r="K163" s="5">
        <f t="shared" si="40"/>
        <v>84514.306499999992</v>
      </c>
      <c r="L163" s="5">
        <f t="shared" si="37"/>
        <v>1.1520488890403489</v>
      </c>
      <c r="M163" s="5">
        <f t="shared" si="38"/>
        <v>1.1520488890403489</v>
      </c>
      <c r="N163" s="5"/>
      <c r="O163" s="5"/>
      <c r="P163" s="5"/>
      <c r="Q163" s="5"/>
      <c r="R163" s="5"/>
    </row>
    <row r="164" spans="1:18" x14ac:dyDescent="0.2">
      <c r="A164" s="5"/>
      <c r="B164" s="5"/>
      <c r="C164" s="5"/>
      <c r="D164" s="5"/>
      <c r="E164" s="5"/>
      <c r="F164" s="5"/>
      <c r="G164" s="5"/>
      <c r="H164" s="5"/>
      <c r="I164" s="5">
        <v>10</v>
      </c>
      <c r="J164" s="5">
        <f t="shared" si="39"/>
        <v>84514.306499999992</v>
      </c>
      <c r="K164" s="5">
        <f t="shared" si="40"/>
        <v>84514.306499999992</v>
      </c>
      <c r="L164" s="5">
        <f t="shared" si="37"/>
        <v>1.1520488890403489</v>
      </c>
      <c r="M164" s="5">
        <f t="shared" si="38"/>
        <v>1.1520488890403489</v>
      </c>
      <c r="N164" s="5"/>
      <c r="O164" s="5"/>
      <c r="P164" s="5"/>
      <c r="Q164" s="5"/>
      <c r="R164" s="5"/>
    </row>
    <row r="165" spans="1:18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x14ac:dyDescent="0.2">
      <c r="A167" s="5"/>
      <c r="B167" s="5"/>
      <c r="C167" s="5"/>
      <c r="D167" s="5"/>
      <c r="E167" s="5"/>
      <c r="F167" s="5"/>
      <c r="G167" s="5"/>
      <c r="H167" s="5"/>
      <c r="I167" s="595" t="s">
        <v>1581</v>
      </c>
      <c r="J167" s="5"/>
      <c r="K167" s="5"/>
      <c r="L167" s="5"/>
      <c r="M167" s="5"/>
      <c r="N167" s="5"/>
      <c r="O167" s="5"/>
      <c r="P167" s="5"/>
      <c r="Q167" s="5"/>
      <c r="R167" s="5"/>
    </row>
    <row r="168" spans="1:18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ht="25.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118" t="s">
        <v>987</v>
      </c>
      <c r="K171" s="118" t="s">
        <v>1582</v>
      </c>
      <c r="L171" s="118" t="s">
        <v>989</v>
      </c>
      <c r="M171" s="425" t="s">
        <v>1574</v>
      </c>
      <c r="N171" s="5"/>
      <c r="O171" s="170" t="s">
        <v>946</v>
      </c>
      <c r="P171" s="14"/>
      <c r="Q171" s="5"/>
      <c r="R171" s="5"/>
    </row>
    <row r="172" spans="1:18" x14ac:dyDescent="0.2">
      <c r="A172" s="5"/>
      <c r="B172" s="5"/>
      <c r="C172" s="5"/>
      <c r="D172" s="5"/>
      <c r="E172" s="5"/>
      <c r="F172" s="5"/>
      <c r="G172" s="5"/>
      <c r="H172" s="5"/>
      <c r="I172" s="5">
        <v>1</v>
      </c>
      <c r="J172" s="5">
        <f>1.35*J123+1.5*L123+1.5*D138/2+B142</f>
        <v>159717.15304967909</v>
      </c>
      <c r="K172" s="64">
        <f>1.35*J123+1.5*L123+1.5*D138+B142/2</f>
        <v>167350.40461040119</v>
      </c>
      <c r="L172" s="5">
        <f t="shared" ref="L172:L181" si="41">1.35*J123+1.5*L123+1.35*K123</f>
        <v>196549.62267112327</v>
      </c>
      <c r="M172" s="5">
        <f t="shared" ref="M172:M181" si="42">L172*1000/($B$17*1000000)/$B$19</f>
        <v>2.6792478553860861</v>
      </c>
      <c r="N172" s="5"/>
      <c r="O172" s="265">
        <f t="shared" ref="O172:O181" si="43">B28/M172</f>
        <v>2.2394344696173643</v>
      </c>
      <c r="P172" s="450" t="str">
        <f t="shared" ref="P172:P181" si="44">IF(P123&gt;0,IF(O172&gt;1,"OK","ERROR"),"N/A")</f>
        <v>OK</v>
      </c>
      <c r="Q172" s="5"/>
      <c r="R172" s="5"/>
    </row>
    <row r="173" spans="1:18" x14ac:dyDescent="0.2">
      <c r="A173" s="5"/>
      <c r="B173" s="5"/>
      <c r="C173" s="5"/>
      <c r="D173" s="5"/>
      <c r="E173" s="5"/>
      <c r="F173" s="5"/>
      <c r="G173" s="5"/>
      <c r="H173" s="5"/>
      <c r="I173" s="5">
        <v>2</v>
      </c>
      <c r="J173" s="5">
        <f>1.35*J124+1.5*L124+1.5*D139/2+B143</f>
        <v>76792.060325046332</v>
      </c>
      <c r="K173" s="64">
        <f>1.35*J124+1.5*L124+1.5*D139+B143/2</f>
        <v>76792.060325046332</v>
      </c>
      <c r="L173" s="5">
        <f t="shared" si="41"/>
        <v>161306.36682504631</v>
      </c>
      <c r="M173" s="5">
        <f t="shared" si="42"/>
        <v>2.1988326993599552</v>
      </c>
      <c r="N173" s="5"/>
      <c r="O173" s="265">
        <f t="shared" si="43"/>
        <v>2.7287205623904462</v>
      </c>
      <c r="P173" s="450" t="str">
        <f t="shared" si="44"/>
        <v>OK</v>
      </c>
      <c r="Q173" s="5"/>
      <c r="R173" s="5"/>
    </row>
    <row r="174" spans="1:18" x14ac:dyDescent="0.2">
      <c r="A174" s="5"/>
      <c r="B174" s="5"/>
      <c r="C174" s="5"/>
      <c r="D174" s="5"/>
      <c r="E174" s="5"/>
      <c r="F174" s="5"/>
      <c r="G174" s="5"/>
      <c r="H174" s="5"/>
      <c r="I174" s="5">
        <v>3</v>
      </c>
      <c r="J174" s="5">
        <f>1.35*J125+1.5*L125+1.5*D140/2+B150</f>
        <v>41548.804478969425</v>
      </c>
      <c r="K174" s="64">
        <f>1.35*J125+1.5*L125+1.5*D140+B150/2</f>
        <v>41548.804478969425</v>
      </c>
      <c r="L174" s="5">
        <f t="shared" si="41"/>
        <v>126063.11097896942</v>
      </c>
      <c r="M174" s="5">
        <f t="shared" si="42"/>
        <v>1.7184175433338253</v>
      </c>
      <c r="N174" s="5"/>
      <c r="O174" s="265">
        <f t="shared" si="43"/>
        <v>3.4915844657635811</v>
      </c>
      <c r="P174" s="450" t="str">
        <f t="shared" si="44"/>
        <v>OK</v>
      </c>
      <c r="Q174" s="5"/>
      <c r="R174" s="5"/>
    </row>
    <row r="175" spans="1:18" x14ac:dyDescent="0.2">
      <c r="A175" s="5"/>
      <c r="B175" s="5"/>
      <c r="C175" s="5"/>
      <c r="D175" s="5"/>
      <c r="E175" s="5"/>
      <c r="F175" s="5"/>
      <c r="G175" s="5"/>
      <c r="H175" s="5"/>
      <c r="I175" s="5">
        <v>4</v>
      </c>
      <c r="J175" s="5">
        <f>1.35*J126+1.5*L126+1.5*D141/2+B151</f>
        <v>6305.5486328925072</v>
      </c>
      <c r="K175" s="64">
        <f>1.35*J126+1.5*L126+1.5*D141+B151/2</f>
        <v>6305.5486328925072</v>
      </c>
      <c r="L175" s="5">
        <f t="shared" si="41"/>
        <v>90819.855132892495</v>
      </c>
      <c r="M175" s="5">
        <f t="shared" si="42"/>
        <v>1.2380023873076949</v>
      </c>
      <c r="N175" s="5"/>
      <c r="O175" s="265">
        <f t="shared" si="43"/>
        <v>4.8465173100742591</v>
      </c>
      <c r="P175" s="450" t="str">
        <f t="shared" si="44"/>
        <v>OK</v>
      </c>
      <c r="Q175" s="5"/>
      <c r="R175" s="5"/>
    </row>
    <row r="176" spans="1:18" x14ac:dyDescent="0.2">
      <c r="A176" s="5"/>
      <c r="B176" s="5"/>
      <c r="C176" s="5"/>
      <c r="D176" s="5"/>
      <c r="E176" s="5"/>
      <c r="F176" s="5"/>
      <c r="G176" s="5"/>
      <c r="H176" s="5"/>
      <c r="I176" s="5">
        <v>5</v>
      </c>
      <c r="J176" s="5">
        <f>1.35*J127+1.5*L127+1.5*D142/2+B152</f>
        <v>1153.1337920405936</v>
      </c>
      <c r="K176" s="64">
        <f>1.35*J127+1.5*L127+1.5*D142+B152/2</f>
        <v>1153.1337920405936</v>
      </c>
      <c r="L176" s="5">
        <f t="shared" si="41"/>
        <v>85667.440292040585</v>
      </c>
      <c r="M176" s="5">
        <f t="shared" si="42"/>
        <v>1.1677677248097136</v>
      </c>
      <c r="N176" s="5"/>
      <c r="O176" s="265">
        <f t="shared" si="43"/>
        <v>0</v>
      </c>
      <c r="P176" s="450" t="str">
        <f t="shared" si="44"/>
        <v>N/A</v>
      </c>
      <c r="Q176" s="5"/>
      <c r="R176" s="5"/>
    </row>
    <row r="177" spans="1:18" x14ac:dyDescent="0.2">
      <c r="A177" s="5"/>
      <c r="B177" s="5"/>
      <c r="C177" s="5"/>
      <c r="D177" s="5"/>
      <c r="E177" s="5"/>
      <c r="F177" s="5"/>
      <c r="G177" s="5"/>
      <c r="H177" s="5"/>
      <c r="I177" s="5">
        <v>6</v>
      </c>
      <c r="J177" s="5">
        <f>1.35*J128+1.5*L128+1.5*D143/2+B153</f>
        <v>1153.1337920405936</v>
      </c>
      <c r="K177" s="64">
        <f>1.35*J128+1.5*L128+1.5*D143+B153/2</f>
        <v>1153.1337920405936</v>
      </c>
      <c r="L177" s="5">
        <f t="shared" si="41"/>
        <v>85667.440292040585</v>
      </c>
      <c r="M177" s="5">
        <f t="shared" si="42"/>
        <v>1.1677677248097136</v>
      </c>
      <c r="N177" s="5"/>
      <c r="O177" s="265">
        <f t="shared" si="43"/>
        <v>0</v>
      </c>
      <c r="P177" s="450" t="str">
        <f t="shared" si="44"/>
        <v>N/A</v>
      </c>
      <c r="Q177" s="5"/>
      <c r="R177" s="5"/>
    </row>
    <row r="178" spans="1:18" x14ac:dyDescent="0.2">
      <c r="A178" s="5"/>
      <c r="B178" s="5"/>
      <c r="C178" s="5"/>
      <c r="D178" s="5"/>
      <c r="E178" s="5"/>
      <c r="F178" s="5"/>
      <c r="G178" s="5"/>
      <c r="H178" s="5"/>
      <c r="I178" s="5">
        <v>7</v>
      </c>
      <c r="J178" s="5">
        <f>1.35*J129+1.5*L129+1.5*D150/2+B154</f>
        <v>1153.1337920405936</v>
      </c>
      <c r="K178" s="64">
        <f>1.35*J129+1.5*L129+1.5*D150+B154/2</f>
        <v>1153.1337920405936</v>
      </c>
      <c r="L178" s="5">
        <f t="shared" si="41"/>
        <v>85667.440292040585</v>
      </c>
      <c r="M178" s="5">
        <f t="shared" si="42"/>
        <v>1.1677677248097136</v>
      </c>
      <c r="N178" s="5"/>
      <c r="O178" s="265">
        <f t="shared" si="43"/>
        <v>0</v>
      </c>
      <c r="P178" s="450" t="str">
        <f t="shared" si="44"/>
        <v>N/A</v>
      </c>
      <c r="Q178" s="5"/>
      <c r="R178" s="5"/>
    </row>
    <row r="179" spans="1:18" x14ac:dyDescent="0.2">
      <c r="A179" s="5"/>
      <c r="B179" s="5"/>
      <c r="C179" s="5"/>
      <c r="D179" s="5"/>
      <c r="E179" s="5"/>
      <c r="F179" s="5"/>
      <c r="G179" s="5"/>
      <c r="H179" s="5"/>
      <c r="I179" s="5">
        <v>8</v>
      </c>
      <c r="J179" s="5">
        <f>1.35*J130+1.5*L130+1.5*D151/2+B155</f>
        <v>1153.1337920405936</v>
      </c>
      <c r="K179" s="64">
        <f>1.35*J130+1.5*L130+1.5*D151+B155/2</f>
        <v>1153.1337920405936</v>
      </c>
      <c r="L179" s="5">
        <f t="shared" si="41"/>
        <v>85667.440292040585</v>
      </c>
      <c r="M179" s="5">
        <f t="shared" si="42"/>
        <v>1.1677677248097136</v>
      </c>
      <c r="N179" s="5"/>
      <c r="O179" s="265">
        <f t="shared" si="43"/>
        <v>0</v>
      </c>
      <c r="P179" s="450" t="str">
        <f t="shared" si="44"/>
        <v>N/A</v>
      </c>
      <c r="Q179" s="5"/>
      <c r="R179" s="5"/>
    </row>
    <row r="180" spans="1:18" x14ac:dyDescent="0.2">
      <c r="A180" s="5"/>
      <c r="B180" s="5"/>
      <c r="C180" s="5"/>
      <c r="D180" s="5"/>
      <c r="E180" s="5"/>
      <c r="F180" s="5"/>
      <c r="G180" s="5"/>
      <c r="H180" s="5"/>
      <c r="I180" s="5">
        <v>9</v>
      </c>
      <c r="J180" s="5">
        <f>1.35*J131+1.5*L131+1.5*D152/2+B156</f>
        <v>1153.1337920405936</v>
      </c>
      <c r="K180" s="64">
        <f>1.35*J131+1.5*L131+1.5*D152+B156/2</f>
        <v>1153.1337920405936</v>
      </c>
      <c r="L180" s="5">
        <f t="shared" si="41"/>
        <v>85667.440292040585</v>
      </c>
      <c r="M180" s="5">
        <f t="shared" si="42"/>
        <v>1.1677677248097136</v>
      </c>
      <c r="N180" s="5"/>
      <c r="O180" s="265">
        <f t="shared" si="43"/>
        <v>0</v>
      </c>
      <c r="P180" s="450" t="str">
        <f t="shared" si="44"/>
        <v>N/A</v>
      </c>
      <c r="Q180" s="5"/>
      <c r="R180" s="5"/>
    </row>
    <row r="181" spans="1:18" x14ac:dyDescent="0.2">
      <c r="A181" s="5"/>
      <c r="B181" s="5"/>
      <c r="C181" s="5"/>
      <c r="D181" s="5"/>
      <c r="E181" s="5"/>
      <c r="F181" s="5"/>
      <c r="G181" s="5"/>
      <c r="H181" s="5"/>
      <c r="I181" s="5">
        <v>10</v>
      </c>
      <c r="J181" s="5">
        <f>1.35*J132+1.5*L132+1.5*D153/2+B157</f>
        <v>1153.1337920405936</v>
      </c>
      <c r="K181" s="64">
        <f>1.35*J132+1.5*L132+1.5*D153+B157/2</f>
        <v>1153.1337920405936</v>
      </c>
      <c r="L181" s="5">
        <f t="shared" si="41"/>
        <v>85667.440292040585</v>
      </c>
      <c r="M181" s="5">
        <f t="shared" si="42"/>
        <v>1.1677677248097136</v>
      </c>
      <c r="N181" s="5"/>
      <c r="O181" s="265">
        <f t="shared" si="43"/>
        <v>0</v>
      </c>
      <c r="P181" s="450" t="str">
        <f t="shared" si="44"/>
        <v>N/A</v>
      </c>
      <c r="Q181" s="5"/>
      <c r="R181" s="5"/>
    </row>
  </sheetData>
  <mergeCells count="83">
    <mergeCell ref="I50:P52"/>
    <mergeCell ref="I54:I55"/>
    <mergeCell ref="L54:M55"/>
    <mergeCell ref="J55:K55"/>
    <mergeCell ref="N55:O55"/>
    <mergeCell ref="I45:K45"/>
    <mergeCell ref="M45:N45"/>
    <mergeCell ref="O45:P45"/>
    <mergeCell ref="I46:K46"/>
    <mergeCell ref="M46:N46"/>
    <mergeCell ref="K19:P19"/>
    <mergeCell ref="I23:P23"/>
    <mergeCell ref="I42:K44"/>
    <mergeCell ref="L42:P42"/>
    <mergeCell ref="L43:P43"/>
    <mergeCell ref="L44:P44"/>
    <mergeCell ref="I5:K5"/>
    <mergeCell ref="M5:N5"/>
    <mergeCell ref="K9:P10"/>
    <mergeCell ref="K17:P17"/>
    <mergeCell ref="K18:P18"/>
    <mergeCell ref="I1:K3"/>
    <mergeCell ref="L1:P1"/>
    <mergeCell ref="L2:P2"/>
    <mergeCell ref="L3:P3"/>
    <mergeCell ref="I4:K4"/>
    <mergeCell ref="M4:N4"/>
    <mergeCell ref="O4:P4"/>
    <mergeCell ref="D3:H3"/>
    <mergeCell ref="G4:H4"/>
    <mergeCell ref="A1:C3"/>
    <mergeCell ref="D1:H1"/>
    <mergeCell ref="D2:H2"/>
    <mergeCell ref="A4:C4"/>
    <mergeCell ref="E4:F4"/>
    <mergeCell ref="A54:A55"/>
    <mergeCell ref="D54:E55"/>
    <mergeCell ref="B55:C55"/>
    <mergeCell ref="D42:H42"/>
    <mergeCell ref="D43:H43"/>
    <mergeCell ref="A46:C46"/>
    <mergeCell ref="D44:H44"/>
    <mergeCell ref="A45:C45"/>
    <mergeCell ref="F55:G55"/>
    <mergeCell ref="A50:H52"/>
    <mergeCell ref="E46:F46"/>
    <mergeCell ref="G45:H45"/>
    <mergeCell ref="E45:F45"/>
    <mergeCell ref="A23:H23"/>
    <mergeCell ref="C9:H10"/>
    <mergeCell ref="A42:C44"/>
    <mergeCell ref="A5:C5"/>
    <mergeCell ref="C18:H18"/>
    <mergeCell ref="C19:H19"/>
    <mergeCell ref="C17:H17"/>
    <mergeCell ref="E5:F5"/>
    <mergeCell ref="A94:C96"/>
    <mergeCell ref="D94:H94"/>
    <mergeCell ref="I94:K96"/>
    <mergeCell ref="L94:P94"/>
    <mergeCell ref="D95:H95"/>
    <mergeCell ref="L95:P95"/>
    <mergeCell ref="D96:H96"/>
    <mergeCell ref="L96:P96"/>
    <mergeCell ref="O97:P97"/>
    <mergeCell ref="A98:C98"/>
    <mergeCell ref="E98:F98"/>
    <mergeCell ref="I98:K98"/>
    <mergeCell ref="M98:N98"/>
    <mergeCell ref="A97:C97"/>
    <mergeCell ref="E97:F97"/>
    <mergeCell ref="G97:H97"/>
    <mergeCell ref="I97:K97"/>
    <mergeCell ref="M97:N97"/>
    <mergeCell ref="I148:K148"/>
    <mergeCell ref="M148:N148"/>
    <mergeCell ref="I144:K146"/>
    <mergeCell ref="L144:P144"/>
    <mergeCell ref="L145:P145"/>
    <mergeCell ref="L146:P146"/>
    <mergeCell ref="I147:K147"/>
    <mergeCell ref="M147:N147"/>
    <mergeCell ref="O147:P147"/>
  </mergeCells>
  <pageMargins left="0.74803149606299213" right="0.74803149606299213" top="0.98425196850393704" bottom="0.98425196850393704" header="0" footer="0"/>
  <pageSetup paperSize="9" scale="93" fitToHeight="0" orientation="portrait"/>
  <rowBreaks count="4" manualBreakCount="4">
    <brk id="41" max="7" man="1"/>
    <brk id="41" min="8" max="15" man="1"/>
    <brk id="93" min="8" max="15" man="1"/>
    <brk id="143" min="8" max="1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2">
    <tabColor rgb="FF00B050"/>
    <pageSetUpPr fitToPage="1"/>
  </sheetPr>
  <dimension ref="A1:AE77"/>
  <sheetViews>
    <sheetView topLeftCell="A27" zoomScale="67" workbookViewId="0">
      <selection activeCell="E62" sqref="E62"/>
    </sheetView>
    <sheetView tabSelected="1" topLeftCell="A49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9" max="9" width="8.5703125" customWidth="1"/>
    <col min="10" max="10" width="6.140625" customWidth="1"/>
    <col min="12" max="12" width="9.42578125" customWidth="1"/>
    <col min="14" max="14" width="13" customWidth="1"/>
    <col min="15" max="15" width="13.42578125" customWidth="1"/>
    <col min="16" max="16" width="10" customWidth="1"/>
    <col min="17" max="18" width="6.5703125" customWidth="1"/>
    <col min="19" max="19" width="7.42578125" customWidth="1"/>
    <col min="21" max="21" width="8.140625" customWidth="1"/>
    <col min="28" max="28" width="12.42578125" bestFit="1" customWidth="1"/>
  </cols>
  <sheetData>
    <row r="1" spans="1:31" ht="17.25" customHeight="1" thickTop="1" thickBot="1" x14ac:dyDescent="0.3">
      <c r="A1" s="988"/>
      <c r="B1" s="823"/>
      <c r="C1" s="871"/>
      <c r="D1" s="934" t="str">
        <f>'Front Page'!$A$13</f>
        <v>Mechanical  Calculations</v>
      </c>
      <c r="E1" s="842"/>
      <c r="F1" s="842"/>
      <c r="G1" s="842"/>
      <c r="H1" s="859"/>
      <c r="I1" s="596"/>
      <c r="J1" s="596"/>
      <c r="K1" s="988"/>
      <c r="L1" s="823"/>
      <c r="M1" s="871"/>
      <c r="N1" s="934" t="str">
        <f>'Front Page'!$A$13</f>
        <v>Mechanical  Calculations</v>
      </c>
      <c r="O1" s="842"/>
      <c r="P1" s="842"/>
      <c r="Q1" s="842"/>
      <c r="R1" s="842"/>
      <c r="S1" s="859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6.5" customHeight="1" thickBot="1" x14ac:dyDescent="0.3">
      <c r="A2" s="825"/>
      <c r="B2" s="809"/>
      <c r="C2" s="989"/>
      <c r="D2" s="984"/>
      <c r="E2" s="831"/>
      <c r="F2" s="831"/>
      <c r="G2" s="831"/>
      <c r="H2" s="854"/>
      <c r="I2" s="43"/>
      <c r="J2" s="43"/>
      <c r="K2" s="825"/>
      <c r="L2" s="809"/>
      <c r="M2" s="989"/>
      <c r="N2" s="984"/>
      <c r="O2" s="831"/>
      <c r="P2" s="831"/>
      <c r="Q2" s="831"/>
      <c r="R2" s="831"/>
      <c r="S2" s="85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6.5" customHeight="1" thickBot="1" x14ac:dyDescent="0.3">
      <c r="A3" s="827"/>
      <c r="B3" s="828"/>
      <c r="C3" s="857"/>
      <c r="D3" s="985" t="s">
        <v>1583</v>
      </c>
      <c r="E3" s="834"/>
      <c r="F3" s="834"/>
      <c r="G3" s="834"/>
      <c r="H3" s="986"/>
      <c r="I3" s="43"/>
      <c r="J3" s="43"/>
      <c r="K3" s="827"/>
      <c r="L3" s="828"/>
      <c r="M3" s="857"/>
      <c r="N3" s="985" t="s">
        <v>1583</v>
      </c>
      <c r="O3" s="834"/>
      <c r="P3" s="834"/>
      <c r="Q3" s="834"/>
      <c r="R3" s="834"/>
      <c r="S3" s="986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16.5" customHeight="1" thickTop="1" thickBot="1" x14ac:dyDescent="0.3">
      <c r="A4" s="873"/>
      <c r="B4" s="848"/>
      <c r="C4" s="865"/>
      <c r="D4" s="385" t="str">
        <f>'Front Page'!$D$4</f>
        <v>Doc Nº</v>
      </c>
      <c r="E4" s="980"/>
      <c r="F4" s="843"/>
      <c r="G4" s="858"/>
      <c r="H4" s="859"/>
      <c r="I4" s="5"/>
      <c r="J4" s="5"/>
      <c r="K4" s="873"/>
      <c r="L4" s="848"/>
      <c r="M4" s="865"/>
      <c r="N4" s="385" t="str">
        <f>'Front Page'!$D$4</f>
        <v>Doc Nº</v>
      </c>
      <c r="O4" s="980"/>
      <c r="P4" s="843"/>
      <c r="Q4" s="980"/>
      <c r="R4" s="842"/>
      <c r="S4" s="843"/>
      <c r="T4" s="5"/>
      <c r="U4" s="5"/>
      <c r="V4" s="5"/>
      <c r="W4" s="5"/>
      <c r="X4" s="5"/>
      <c r="Y4" s="5"/>
      <c r="Z4" s="5"/>
      <c r="AA4" s="64" t="s">
        <v>196</v>
      </c>
      <c r="AB4" s="5">
        <f>+L13/12</f>
        <v>76.771653543307096</v>
      </c>
      <c r="AC4" s="64" t="s">
        <v>1047</v>
      </c>
      <c r="AD4" s="5"/>
      <c r="AE4" s="5"/>
    </row>
    <row r="5" spans="1:31" ht="15.75" customHeight="1" thickBot="1" x14ac:dyDescent="0.3">
      <c r="A5" s="860"/>
      <c r="B5" s="851"/>
      <c r="C5" s="861"/>
      <c r="D5" s="386" t="str">
        <f>'Front Page'!$D$5</f>
        <v>Project</v>
      </c>
      <c r="E5" s="899"/>
      <c r="F5" s="835"/>
      <c r="G5" s="131" t="s">
        <v>5</v>
      </c>
      <c r="H5" s="132"/>
      <c r="I5" s="228"/>
      <c r="J5" s="228"/>
      <c r="K5" s="860"/>
      <c r="L5" s="851"/>
      <c r="M5" s="861"/>
      <c r="N5" s="386" t="str">
        <f>'Front Page'!$D$5</f>
        <v>Project</v>
      </c>
      <c r="O5" s="899"/>
      <c r="P5" s="835"/>
      <c r="Q5" s="844" t="s">
        <v>5</v>
      </c>
      <c r="R5" s="835"/>
      <c r="S5" s="427"/>
      <c r="T5" s="5"/>
      <c r="U5" s="5"/>
      <c r="V5" s="5"/>
      <c r="W5" s="5"/>
      <c r="X5" s="5"/>
      <c r="Y5" s="5"/>
      <c r="Z5" s="5"/>
      <c r="AA5" s="64" t="s">
        <v>1584</v>
      </c>
      <c r="AB5" s="5">
        <f>+'Design Conditions'!K28</f>
        <v>149</v>
      </c>
      <c r="AC5" s="64" t="s">
        <v>1585</v>
      </c>
      <c r="AD5" s="5"/>
      <c r="AE5" s="5"/>
    </row>
    <row r="6" spans="1:31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8" customHeight="1" x14ac:dyDescent="0.25">
      <c r="A7" s="1025" t="s">
        <v>1586</v>
      </c>
      <c r="B7" s="809"/>
      <c r="C7" s="809"/>
      <c r="D7" s="809"/>
      <c r="E7" s="809"/>
      <c r="F7" s="809"/>
      <c r="G7" s="809"/>
      <c r="H7" s="809"/>
      <c r="I7" s="597"/>
      <c r="J7" s="597"/>
      <c r="K7" s="1025" t="s">
        <v>1586</v>
      </c>
      <c r="L7" s="809"/>
      <c r="M7" s="809"/>
      <c r="N7" s="809"/>
      <c r="O7" s="809"/>
      <c r="P7" s="809"/>
      <c r="Q7" s="809"/>
      <c r="R7" s="809"/>
      <c r="S7" s="809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18" customHeight="1" x14ac:dyDescent="0.25">
      <c r="A8" s="809"/>
      <c r="B8" s="809"/>
      <c r="C8" s="809"/>
      <c r="D8" s="809"/>
      <c r="E8" s="809"/>
      <c r="F8" s="809"/>
      <c r="G8" s="809"/>
      <c r="H8" s="809"/>
      <c r="I8" s="597"/>
      <c r="J8" s="597"/>
      <c r="K8" s="809"/>
      <c r="L8" s="809"/>
      <c r="M8" s="809"/>
      <c r="N8" s="809"/>
      <c r="O8" s="809"/>
      <c r="P8" s="809"/>
      <c r="Q8" s="809"/>
      <c r="R8" s="809"/>
      <c r="S8" s="809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8" customHeight="1" x14ac:dyDescent="0.25">
      <c r="A9" s="809"/>
      <c r="B9" s="809"/>
      <c r="C9" s="809"/>
      <c r="D9" s="809"/>
      <c r="E9" s="809"/>
      <c r="F9" s="809"/>
      <c r="G9" s="809"/>
      <c r="H9" s="809"/>
      <c r="I9" s="597"/>
      <c r="J9" s="597"/>
      <c r="K9" s="809"/>
      <c r="L9" s="809"/>
      <c r="M9" s="809"/>
      <c r="N9" s="809"/>
      <c r="O9" s="809"/>
      <c r="P9" s="809"/>
      <c r="Q9" s="809"/>
      <c r="R9" s="809"/>
      <c r="S9" s="809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64" t="s">
        <v>1587</v>
      </c>
      <c r="Z10" s="64" t="s">
        <v>1588</v>
      </c>
      <c r="AA10" s="64" t="s">
        <v>1589</v>
      </c>
      <c r="AB10" s="64" t="s">
        <v>1590</v>
      </c>
      <c r="AC10" s="64" t="s">
        <v>1591</v>
      </c>
      <c r="AD10" s="64" t="s">
        <v>1592</v>
      </c>
      <c r="AE10" s="64" t="s">
        <v>1593</v>
      </c>
    </row>
    <row r="11" spans="1:31" x14ac:dyDescent="0.2">
      <c r="A11" s="118" t="s">
        <v>1302</v>
      </c>
      <c r="B11" s="5"/>
      <c r="C11" s="5"/>
      <c r="D11" s="5"/>
      <c r="E11" s="5"/>
      <c r="F11" s="5"/>
      <c r="G11" s="5"/>
      <c r="H11" s="5"/>
      <c r="I11" s="5"/>
      <c r="J11" s="5"/>
      <c r="K11" s="118" t="s">
        <v>1302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4"/>
      <c r="Y11" s="64">
        <f>600*L14</f>
        <v>141.73228346456693</v>
      </c>
      <c r="Z11" s="64">
        <f>100*L14</f>
        <v>23.622047244094489</v>
      </c>
      <c r="AA11" s="64">
        <f>+Z11/AB4</f>
        <v>0.30769230769230765</v>
      </c>
      <c r="AB11" s="5">
        <f>+AA11^3</f>
        <v>2.9130632680928525E-2</v>
      </c>
      <c r="AC11" s="5">
        <f>+SQRT(AB11)</f>
        <v>0.1706769834539166</v>
      </c>
      <c r="AD11" s="5">
        <f>120/AB5</f>
        <v>0.80536912751677847</v>
      </c>
      <c r="AE11" s="5">
        <f>+AD11^2</f>
        <v>0.64861943155713697</v>
      </c>
    </row>
    <row r="12" spans="1:3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4"/>
      <c r="Y12" s="5"/>
      <c r="Z12" s="5"/>
      <c r="AA12" s="5"/>
      <c r="AB12" s="5"/>
      <c r="AC12" s="5"/>
      <c r="AD12" s="5"/>
      <c r="AE12" s="5"/>
    </row>
    <row r="13" spans="1:31" x14ac:dyDescent="0.2">
      <c r="A13" s="5" t="s">
        <v>196</v>
      </c>
      <c r="B13" s="5">
        <f>'Main Dimensions Calcs'!D32</f>
        <v>23400</v>
      </c>
      <c r="C13" s="5" t="s">
        <v>1594</v>
      </c>
      <c r="D13" s="5"/>
      <c r="E13" s="5"/>
      <c r="F13" s="5"/>
      <c r="G13" s="5"/>
      <c r="H13" s="5"/>
      <c r="I13" s="5"/>
      <c r="J13" s="5"/>
      <c r="K13" s="5" t="s">
        <v>196</v>
      </c>
      <c r="L13" s="598">
        <f>B13/25.4</f>
        <v>921.25984251968509</v>
      </c>
      <c r="M13" s="64" t="s">
        <v>1595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64" t="s">
        <v>1596</v>
      </c>
      <c r="Y13" s="64">
        <f>+Y11*AC11*AE11</f>
        <v>15.690388533699156</v>
      </c>
      <c r="Z13" s="64" t="s">
        <v>1047</v>
      </c>
      <c r="AA13" s="64"/>
      <c r="AB13" s="5"/>
      <c r="AC13" s="5"/>
      <c r="AD13" s="5"/>
      <c r="AE13" s="5"/>
    </row>
    <row r="14" spans="1:31" x14ac:dyDescent="0.2">
      <c r="A14" s="5" t="s">
        <v>360</v>
      </c>
      <c r="B14" s="216">
        <v>6</v>
      </c>
      <c r="C14" s="5" t="s">
        <v>1597</v>
      </c>
      <c r="D14" s="5"/>
      <c r="E14" s="5"/>
      <c r="F14" s="5"/>
      <c r="G14" s="5"/>
      <c r="H14" s="5"/>
      <c r="I14" s="5"/>
      <c r="J14" s="5"/>
      <c r="K14" s="5" t="s">
        <v>360</v>
      </c>
      <c r="L14" s="598">
        <f>B14/25.4</f>
        <v>0.23622047244094491</v>
      </c>
      <c r="M14" s="64" t="s">
        <v>1598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f>+Y13*12</f>
        <v>188.28466240438988</v>
      </c>
      <c r="Z14" s="64" t="s">
        <v>248</v>
      </c>
      <c r="AA14" s="5"/>
      <c r="AB14" s="5"/>
      <c r="AC14" s="5"/>
      <c r="AD14" s="5"/>
      <c r="AE14" s="5"/>
    </row>
    <row r="15" spans="1:3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x14ac:dyDescent="0.2">
      <c r="A16" s="118" t="s">
        <v>1599</v>
      </c>
      <c r="B16" s="5"/>
      <c r="C16" s="5"/>
      <c r="D16" s="5"/>
      <c r="E16" s="5"/>
      <c r="F16" s="5"/>
      <c r="G16" s="5"/>
      <c r="H16" s="5"/>
      <c r="I16" s="5"/>
      <c r="J16" s="5"/>
      <c r="K16" s="118" t="s">
        <v>1599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x14ac:dyDescent="0.2">
      <c r="A18" s="226" t="s">
        <v>1600</v>
      </c>
      <c r="B18" s="266">
        <f>+COUNTIF(I62:I67,"&lt;&gt;roof")</f>
        <v>2</v>
      </c>
      <c r="C18" s="5" t="s">
        <v>346</v>
      </c>
      <c r="D18" s="5"/>
      <c r="E18" s="5"/>
      <c r="F18" s="5"/>
      <c r="G18" s="5"/>
      <c r="H18" s="5"/>
      <c r="I18" s="5"/>
      <c r="J18" s="5"/>
      <c r="K18" s="226" t="s">
        <v>1600</v>
      </c>
      <c r="L18" s="64">
        <f>B18</f>
        <v>2</v>
      </c>
      <c r="M18" s="5" t="s">
        <v>346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">
      <c r="A19" s="226" t="s">
        <v>1601</v>
      </c>
      <c r="B19" s="273">
        <f>'Main Dimensions Calcs'!D44</f>
        <v>140</v>
      </c>
      <c r="C19" s="5" t="s">
        <v>1602</v>
      </c>
      <c r="D19" s="5"/>
      <c r="E19" s="5"/>
      <c r="F19" s="5"/>
      <c r="G19" s="5"/>
      <c r="H19" s="5"/>
      <c r="I19" s="5"/>
      <c r="J19" s="5"/>
      <c r="K19" s="226" t="s">
        <v>1601</v>
      </c>
      <c r="L19" s="378">
        <f>B19/25.4</f>
        <v>5.5118110236220472</v>
      </c>
      <c r="M19" s="64" t="s">
        <v>1603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x14ac:dyDescent="0.2">
      <c r="A20" s="226" t="s">
        <v>1604</v>
      </c>
      <c r="B20" s="273">
        <f>'Main Dimensions Calcs'!D45</f>
        <v>14</v>
      </c>
      <c r="C20" s="5" t="s">
        <v>1605</v>
      </c>
      <c r="D20" s="5"/>
      <c r="E20" s="5"/>
      <c r="F20" s="5"/>
      <c r="G20" s="5"/>
      <c r="H20" s="5"/>
      <c r="I20" s="5"/>
      <c r="J20" s="5"/>
      <c r="K20" s="226" t="s">
        <v>1604</v>
      </c>
      <c r="L20" s="378">
        <f>B20/25.4</f>
        <v>0.55118110236220474</v>
      </c>
      <c r="M20" s="64" t="s">
        <v>1606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x14ac:dyDescent="0.2">
      <c r="A22" s="121" t="s">
        <v>1607</v>
      </c>
      <c r="B22" s="5"/>
      <c r="C22" s="5"/>
      <c r="D22" s="5"/>
      <c r="E22" s="5"/>
      <c r="F22" s="5"/>
      <c r="G22" s="5"/>
      <c r="H22" s="5"/>
      <c r="I22" s="5"/>
      <c r="J22" s="5"/>
      <c r="K22" s="121" t="s">
        <v>1607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99" t="s">
        <v>1608</v>
      </c>
      <c r="W22" s="194"/>
      <c r="X22" s="5"/>
      <c r="Y22" s="5"/>
      <c r="Z22" s="5"/>
      <c r="AA22" s="5"/>
      <c r="AB22" s="5"/>
      <c r="AC22" s="5"/>
      <c r="AD22" s="5"/>
      <c r="AE22" s="5"/>
    </row>
    <row r="23" spans="1:31" x14ac:dyDescent="0.2">
      <c r="A23" s="121"/>
      <c r="B23" s="5"/>
      <c r="C23" s="5"/>
      <c r="D23" s="5"/>
      <c r="E23" s="5"/>
      <c r="F23" s="5"/>
      <c r="G23" s="5"/>
      <c r="H23" s="5"/>
      <c r="I23" s="5"/>
      <c r="J23" s="5"/>
      <c r="K23" s="121"/>
      <c r="L23" s="5"/>
      <c r="M23" s="5"/>
      <c r="N23" s="5"/>
      <c r="O23" s="5"/>
      <c r="P23" s="5"/>
      <c r="Q23" s="5"/>
      <c r="R23" s="5"/>
      <c r="S23" s="5"/>
      <c r="T23" s="5"/>
      <c r="U23" s="5"/>
      <c r="V23" s="114">
        <f>'Design Conditions'!J28*3.6</f>
        <v>239.79599999999999</v>
      </c>
      <c r="W23" s="600" t="s">
        <v>1609</v>
      </c>
      <c r="X23" s="5"/>
      <c r="Y23" s="5"/>
      <c r="Z23" s="5"/>
      <c r="AA23" s="5"/>
      <c r="AB23" s="5"/>
      <c r="AC23" s="5"/>
      <c r="AD23" s="5"/>
      <c r="AE23" s="5"/>
    </row>
    <row r="24" spans="1:31" x14ac:dyDescent="0.2">
      <c r="A24" s="5" t="s">
        <v>1596</v>
      </c>
      <c r="B24" s="5">
        <f>304.8*6*(100*B14/25.4)*(100*B14*0.304/(25.4*B13/1000))^(3/2)*1/((V23/190)^2)</f>
        <v>4610.7329591332737</v>
      </c>
      <c r="C24" s="5" t="s">
        <v>247</v>
      </c>
      <c r="D24" s="5"/>
      <c r="E24" s="5"/>
      <c r="F24" s="5"/>
      <c r="G24" s="5"/>
      <c r="H24" s="5"/>
      <c r="I24" s="5"/>
      <c r="J24" s="5"/>
      <c r="K24" s="5" t="s">
        <v>1596</v>
      </c>
      <c r="L24" s="598">
        <f>B24/25.4</f>
        <v>181.5249196509163</v>
      </c>
      <c r="M24" s="64" t="s">
        <v>248</v>
      </c>
      <c r="N24" s="5"/>
      <c r="O24" s="5"/>
      <c r="P24" s="5"/>
      <c r="Q24" s="5"/>
      <c r="R24" s="5"/>
      <c r="S24" s="5"/>
      <c r="T24" s="5"/>
      <c r="U24" s="5"/>
      <c r="V24" s="114"/>
      <c r="W24" s="103"/>
      <c r="X24" s="5"/>
      <c r="Y24" s="5"/>
      <c r="Z24" s="5"/>
      <c r="AA24" s="5"/>
      <c r="AB24" s="5"/>
      <c r="AC24" s="5"/>
      <c r="AD24" s="5"/>
      <c r="AE24" s="5"/>
    </row>
    <row r="25" spans="1:3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183"/>
      <c r="W25" s="198"/>
      <c r="X25" s="5"/>
      <c r="Y25" s="5"/>
      <c r="Z25" s="5"/>
      <c r="AA25" s="5"/>
      <c r="AB25" s="5"/>
      <c r="AC25" s="5"/>
      <c r="AD25" s="5"/>
      <c r="AE25" s="5"/>
    </row>
    <row r="26" spans="1:31" x14ac:dyDescent="0.2">
      <c r="A26" s="118" t="s">
        <v>1610</v>
      </c>
      <c r="B26" s="5"/>
      <c r="C26" s="5"/>
      <c r="D26" s="5"/>
      <c r="E26" s="5"/>
      <c r="F26" s="5"/>
      <c r="G26" s="5"/>
      <c r="H26" s="5"/>
      <c r="I26" s="5"/>
      <c r="J26" s="5"/>
      <c r="K26" s="118" t="s">
        <v>1610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x14ac:dyDescent="0.2">
      <c r="A27" s="5" t="s">
        <v>197</v>
      </c>
      <c r="B27" s="14" t="s">
        <v>1611</v>
      </c>
      <c r="C27" s="5" t="s">
        <v>1612</v>
      </c>
      <c r="D27" s="64"/>
      <c r="E27" s="266" t="s">
        <v>363</v>
      </c>
      <c r="F27" s="5"/>
      <c r="G27" s="5"/>
      <c r="H27" s="5"/>
      <c r="I27" s="5"/>
      <c r="J27" s="5"/>
      <c r="K27" s="14" t="s">
        <v>197</v>
      </c>
      <c r="L27" s="14" t="s">
        <v>1611</v>
      </c>
      <c r="M27" s="14" t="s">
        <v>1612</v>
      </c>
      <c r="N27" s="170" t="s">
        <v>363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x14ac:dyDescent="0.2">
      <c r="A28" s="5">
        <f>'Main Dimensions Calcs'!I25</f>
        <v>2229</v>
      </c>
      <c r="B28" s="5">
        <f>'Main Dimensions Calcs'!H25</f>
        <v>6</v>
      </c>
      <c r="C28" s="5">
        <f>A28*($B$14/B28)^(5/2)</f>
        <v>2229</v>
      </c>
      <c r="D28" s="5"/>
      <c r="E28" s="266">
        <f>+C28</f>
        <v>2229</v>
      </c>
      <c r="F28" s="5"/>
      <c r="G28" s="5"/>
      <c r="H28" s="5"/>
      <c r="I28" s="5"/>
      <c r="J28" s="5"/>
      <c r="K28" s="601">
        <f t="shared" ref="K28:K37" si="0">A28/25.4</f>
        <v>87.755905511811022</v>
      </c>
      <c r="L28" s="601">
        <f t="shared" ref="L28:L37" si="1">B28/25.4</f>
        <v>0.23622047244094491</v>
      </c>
      <c r="M28" s="601">
        <f t="shared" ref="M28:M37" si="2">C28/25.4</f>
        <v>87.755905511811022</v>
      </c>
      <c r="N28" s="525">
        <f>+M28</f>
        <v>87.755905511811022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x14ac:dyDescent="0.2">
      <c r="A29" s="5">
        <f>'Main Dimensions Calcs'!I26</f>
        <v>2229</v>
      </c>
      <c r="B29" s="5">
        <f>'Main Dimensions Calcs'!H26</f>
        <v>6</v>
      </c>
      <c r="C29" s="5">
        <f>A29*($B$14/B29)^(5/2)</f>
        <v>2229</v>
      </c>
      <c r="D29" s="5"/>
      <c r="E29" s="266">
        <f t="shared" ref="E29:E37" si="3">+E28+C29</f>
        <v>4458</v>
      </c>
      <c r="F29" s="5"/>
      <c r="G29" s="5"/>
      <c r="H29" s="5"/>
      <c r="I29" s="5"/>
      <c r="J29" s="5"/>
      <c r="K29" s="601">
        <f t="shared" si="0"/>
        <v>87.755905511811022</v>
      </c>
      <c r="L29" s="601">
        <f t="shared" si="1"/>
        <v>0.23622047244094491</v>
      </c>
      <c r="M29" s="601">
        <f t="shared" si="2"/>
        <v>87.755905511811022</v>
      </c>
      <c r="N29" s="525">
        <f t="shared" ref="N29:N37" si="4">+N28+M29</f>
        <v>175.51181102362204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">
      <c r="A30" s="5">
        <f>'Main Dimensions Calcs'!I27</f>
        <v>2229</v>
      </c>
      <c r="B30" s="5">
        <f>'Main Dimensions Calcs'!H27</f>
        <v>6</v>
      </c>
      <c r="C30" s="5">
        <f>A30*($B$14/B30)^(5/2)</f>
        <v>2229</v>
      </c>
      <c r="D30" s="5"/>
      <c r="E30" s="266">
        <f t="shared" si="3"/>
        <v>6687</v>
      </c>
      <c r="F30" s="5"/>
      <c r="G30" s="5"/>
      <c r="H30" s="5"/>
      <c r="I30" s="5"/>
      <c r="J30" s="5"/>
      <c r="K30" s="601">
        <f t="shared" si="0"/>
        <v>87.755905511811022</v>
      </c>
      <c r="L30" s="601">
        <f t="shared" si="1"/>
        <v>0.23622047244094491</v>
      </c>
      <c r="M30" s="601">
        <f t="shared" si="2"/>
        <v>87.755905511811022</v>
      </c>
      <c r="N30" s="525">
        <f t="shared" si="4"/>
        <v>263.26771653543307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x14ac:dyDescent="0.2">
      <c r="A31" s="5">
        <f>'Main Dimensions Calcs'!I28</f>
        <v>2229</v>
      </c>
      <c r="B31" s="5">
        <f>'Main Dimensions Calcs'!H28</f>
        <v>6</v>
      </c>
      <c r="C31" s="5">
        <f t="shared" ref="C31:C36" si="5">A31*(B31/$B$14)^(5/2)</f>
        <v>2229</v>
      </c>
      <c r="D31" s="5"/>
      <c r="E31" s="266">
        <f t="shared" si="3"/>
        <v>8916</v>
      </c>
      <c r="F31" s="5"/>
      <c r="G31" s="5"/>
      <c r="H31" s="5"/>
      <c r="I31" s="5"/>
      <c r="J31" s="5"/>
      <c r="K31" s="601">
        <f t="shared" si="0"/>
        <v>87.755905511811022</v>
      </c>
      <c r="L31" s="601">
        <f t="shared" si="1"/>
        <v>0.23622047244094491</v>
      </c>
      <c r="M31" s="601">
        <f t="shared" si="2"/>
        <v>87.755905511811022</v>
      </c>
      <c r="N31" s="525">
        <f t="shared" si="4"/>
        <v>351.02362204724409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x14ac:dyDescent="0.2">
      <c r="A32" s="5">
        <f>'Main Dimensions Calcs'!I29</f>
        <v>0</v>
      </c>
      <c r="B32" s="5">
        <f>'Main Dimensions Calcs'!H29</f>
        <v>0</v>
      </c>
      <c r="C32" s="5">
        <f t="shared" si="5"/>
        <v>0</v>
      </c>
      <c r="D32" s="5"/>
      <c r="E32" s="266">
        <f t="shared" si="3"/>
        <v>8916</v>
      </c>
      <c r="F32" s="5"/>
      <c r="G32" s="5"/>
      <c r="H32" s="5"/>
      <c r="I32" s="5"/>
      <c r="J32" s="5"/>
      <c r="K32" s="601">
        <f t="shared" si="0"/>
        <v>0</v>
      </c>
      <c r="L32" s="601">
        <f t="shared" si="1"/>
        <v>0</v>
      </c>
      <c r="M32" s="601">
        <f t="shared" si="2"/>
        <v>0</v>
      </c>
      <c r="N32" s="525">
        <f t="shared" si="4"/>
        <v>351.02362204724409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x14ac:dyDescent="0.2">
      <c r="A33" s="5">
        <f>'Main Dimensions Calcs'!I30</f>
        <v>0</v>
      </c>
      <c r="B33" s="5">
        <f>'Main Dimensions Calcs'!H30</f>
        <v>0</v>
      </c>
      <c r="C33" s="5">
        <f t="shared" si="5"/>
        <v>0</v>
      </c>
      <c r="D33" s="5"/>
      <c r="E33" s="266">
        <f t="shared" si="3"/>
        <v>8916</v>
      </c>
      <c r="F33" s="5"/>
      <c r="G33" s="5"/>
      <c r="H33" s="5"/>
      <c r="I33" s="5"/>
      <c r="J33" s="5"/>
      <c r="K33" s="601">
        <f t="shared" si="0"/>
        <v>0</v>
      </c>
      <c r="L33" s="601">
        <f t="shared" si="1"/>
        <v>0</v>
      </c>
      <c r="M33" s="601">
        <f t="shared" si="2"/>
        <v>0</v>
      </c>
      <c r="N33" s="525">
        <f t="shared" si="4"/>
        <v>351.02362204724409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x14ac:dyDescent="0.2">
      <c r="A34" s="5">
        <f>'Main Dimensions Calcs'!I31</f>
        <v>0</v>
      </c>
      <c r="B34" s="5">
        <f>'Main Dimensions Calcs'!H31</f>
        <v>0</v>
      </c>
      <c r="C34" s="5">
        <f t="shared" si="5"/>
        <v>0</v>
      </c>
      <c r="D34" s="5"/>
      <c r="E34" s="266">
        <f t="shared" si="3"/>
        <v>8916</v>
      </c>
      <c r="F34" s="5"/>
      <c r="G34" s="5"/>
      <c r="H34" s="5"/>
      <c r="I34" s="5"/>
      <c r="J34" s="5"/>
      <c r="K34" s="601">
        <f t="shared" si="0"/>
        <v>0</v>
      </c>
      <c r="L34" s="601">
        <f t="shared" si="1"/>
        <v>0</v>
      </c>
      <c r="M34" s="601">
        <f t="shared" si="2"/>
        <v>0</v>
      </c>
      <c r="N34" s="525">
        <f t="shared" si="4"/>
        <v>351.02362204724409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2">
      <c r="A35" s="5">
        <f>'Main Dimensions Calcs'!I32</f>
        <v>0</v>
      </c>
      <c r="B35" s="5">
        <f>'Main Dimensions Calcs'!H32</f>
        <v>0</v>
      </c>
      <c r="C35" s="5">
        <f t="shared" si="5"/>
        <v>0</v>
      </c>
      <c r="D35" s="5"/>
      <c r="E35" s="266">
        <f t="shared" si="3"/>
        <v>8916</v>
      </c>
      <c r="F35" s="5"/>
      <c r="G35" s="5"/>
      <c r="H35" s="5"/>
      <c r="I35" s="5"/>
      <c r="J35" s="5"/>
      <c r="K35" s="601">
        <f t="shared" si="0"/>
        <v>0</v>
      </c>
      <c r="L35" s="601">
        <f t="shared" si="1"/>
        <v>0</v>
      </c>
      <c r="M35" s="601">
        <f t="shared" si="2"/>
        <v>0</v>
      </c>
      <c r="N35" s="525">
        <f t="shared" si="4"/>
        <v>351.02362204724409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x14ac:dyDescent="0.2">
      <c r="A36" s="5">
        <f>'Main Dimensions Calcs'!I33</f>
        <v>0</v>
      </c>
      <c r="B36" s="5">
        <f>'Main Dimensions Calcs'!H33</f>
        <v>0</v>
      </c>
      <c r="C36" s="5">
        <f t="shared" si="5"/>
        <v>0</v>
      </c>
      <c r="D36" s="5"/>
      <c r="E36" s="266">
        <f t="shared" si="3"/>
        <v>8916</v>
      </c>
      <c r="F36" s="5"/>
      <c r="G36" s="5"/>
      <c r="H36" s="5"/>
      <c r="I36" s="5"/>
      <c r="J36" s="5"/>
      <c r="K36" s="601">
        <f t="shared" si="0"/>
        <v>0</v>
      </c>
      <c r="L36" s="601">
        <f t="shared" si="1"/>
        <v>0</v>
      </c>
      <c r="M36" s="601">
        <f t="shared" si="2"/>
        <v>0</v>
      </c>
      <c r="N36" s="525">
        <f t="shared" si="4"/>
        <v>351.02362204724409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x14ac:dyDescent="0.2">
      <c r="A37" s="5">
        <f>'Main Dimensions Calcs'!I34</f>
        <v>0</v>
      </c>
      <c r="B37" s="5">
        <f>'Main Dimensions Calcs'!H34</f>
        <v>0</v>
      </c>
      <c r="C37" s="5">
        <f>A37*(B37/B30)^(5/2)</f>
        <v>0</v>
      </c>
      <c r="D37" s="5"/>
      <c r="E37" s="266">
        <f t="shared" si="3"/>
        <v>8916</v>
      </c>
      <c r="F37" s="5"/>
      <c r="G37" s="5"/>
      <c r="H37" s="5"/>
      <c r="I37" s="5"/>
      <c r="J37" s="5"/>
      <c r="K37" s="601">
        <f t="shared" si="0"/>
        <v>0</v>
      </c>
      <c r="L37" s="601">
        <f t="shared" si="1"/>
        <v>0</v>
      </c>
      <c r="M37" s="601">
        <f t="shared" si="2"/>
        <v>0</v>
      </c>
      <c r="N37" s="525">
        <f t="shared" si="4"/>
        <v>351.02362204724409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x14ac:dyDescent="0.2">
      <c r="A38" s="5"/>
      <c r="B38" s="64" t="s">
        <v>1139</v>
      </c>
      <c r="C38" s="5">
        <f>SUM(C28:C37)</f>
        <v>8916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64" t="s">
        <v>1613</v>
      </c>
      <c r="L39" s="5"/>
      <c r="M39" s="598">
        <f>C38/25.4</f>
        <v>351.02362204724409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x14ac:dyDescent="0.2">
      <c r="A40" s="118" t="s">
        <v>1614</v>
      </c>
      <c r="B40" s="5"/>
      <c r="C40" s="5"/>
      <c r="D40" s="5"/>
      <c r="E40" s="5"/>
      <c r="F40" s="5"/>
      <c r="G40" s="5"/>
      <c r="H40" s="5"/>
      <c r="I40" s="5"/>
      <c r="J40" s="5"/>
      <c r="K40" s="118" t="s">
        <v>1614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">
      <c r="A41" s="118"/>
      <c r="B41" s="5"/>
      <c r="C41" s="5"/>
      <c r="D41" s="5"/>
      <c r="E41" s="5"/>
      <c r="F41" s="5"/>
      <c r="G41" s="5"/>
      <c r="H41" s="5"/>
      <c r="I41" s="5"/>
      <c r="J41" s="5"/>
      <c r="K41" s="118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x14ac:dyDescent="0.2">
      <c r="A42" s="5" t="s">
        <v>1615</v>
      </c>
      <c r="B42" s="263">
        <v>3300</v>
      </c>
      <c r="C42" s="563" t="str">
        <f>IF(B42&lt;B24,"OK","ERROR")</f>
        <v>OK</v>
      </c>
      <c r="D42" s="5"/>
      <c r="E42" s="5"/>
      <c r="F42" s="5"/>
      <c r="G42" s="5"/>
      <c r="H42" s="5"/>
      <c r="I42" s="5"/>
      <c r="J42" s="5"/>
      <c r="K42" s="5" t="s">
        <v>1615</v>
      </c>
      <c r="L42" s="598">
        <f>B42/25.4</f>
        <v>129.9212598425197</v>
      </c>
      <c r="M42" s="563" t="str">
        <f>IF(L42&lt;L24,"OK","ERROR")</f>
        <v>OK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ht="13.5" customHeight="1" thickBo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ht="17.25" customHeight="1" thickTop="1" thickBot="1" x14ac:dyDescent="0.3">
      <c r="A51" s="988"/>
      <c r="B51" s="823"/>
      <c r="C51" s="871"/>
      <c r="D51" s="934" t="str">
        <f>'Front Page'!$A$13</f>
        <v>Mechanical  Calculations</v>
      </c>
      <c r="E51" s="842"/>
      <c r="F51" s="842"/>
      <c r="G51" s="842"/>
      <c r="H51" s="859"/>
      <c r="I51" s="596"/>
      <c r="J51" s="596"/>
      <c r="K51" s="988"/>
      <c r="L51" s="823"/>
      <c r="M51" s="871"/>
      <c r="N51" s="934" t="str">
        <f>'Front Page'!$A$13</f>
        <v>Mechanical  Calculations</v>
      </c>
      <c r="O51" s="842"/>
      <c r="P51" s="842"/>
      <c r="Q51" s="842"/>
      <c r="R51" s="842"/>
      <c r="S51" s="859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ht="16.5" customHeight="1" thickBot="1" x14ac:dyDescent="0.3">
      <c r="A52" s="825"/>
      <c r="B52" s="809"/>
      <c r="C52" s="989"/>
      <c r="D52" s="984"/>
      <c r="E52" s="831"/>
      <c r="F52" s="831"/>
      <c r="G52" s="831"/>
      <c r="H52" s="854"/>
      <c r="I52" s="43"/>
      <c r="J52" s="43"/>
      <c r="K52" s="825"/>
      <c r="L52" s="809"/>
      <c r="M52" s="989"/>
      <c r="N52" s="984"/>
      <c r="O52" s="831"/>
      <c r="P52" s="831"/>
      <c r="Q52" s="831"/>
      <c r="R52" s="831"/>
      <c r="S52" s="854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ht="16.5" customHeight="1" thickBot="1" x14ac:dyDescent="0.3">
      <c r="A53" s="827"/>
      <c r="B53" s="828"/>
      <c r="C53" s="857"/>
      <c r="D53" s="985" t="s">
        <v>1583</v>
      </c>
      <c r="E53" s="834"/>
      <c r="F53" s="834"/>
      <c r="G53" s="834"/>
      <c r="H53" s="986"/>
      <c r="I53" s="43"/>
      <c r="J53" s="43"/>
      <c r="K53" s="827"/>
      <c r="L53" s="828"/>
      <c r="M53" s="857"/>
      <c r="N53" s="985" t="s">
        <v>1583</v>
      </c>
      <c r="O53" s="834"/>
      <c r="P53" s="834"/>
      <c r="Q53" s="834"/>
      <c r="R53" s="834"/>
      <c r="S53" s="986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16.5" customHeight="1" thickTop="1" thickBot="1" x14ac:dyDescent="0.3">
      <c r="A54" s="873"/>
      <c r="B54" s="848"/>
      <c r="C54" s="865"/>
      <c r="D54" s="385" t="str">
        <f>'Front Page'!$D$4</f>
        <v>Doc Nº</v>
      </c>
      <c r="E54" s="980"/>
      <c r="F54" s="843"/>
      <c r="G54" s="980"/>
      <c r="H54" s="843"/>
      <c r="I54" s="5"/>
      <c r="J54" s="5"/>
      <c r="K54" s="873"/>
      <c r="L54" s="848"/>
      <c r="M54" s="865"/>
      <c r="N54" s="385" t="str">
        <f>'Front Page'!$D$4</f>
        <v>Doc Nº</v>
      </c>
      <c r="O54" s="980"/>
      <c r="P54" s="843"/>
      <c r="Q54" s="980"/>
      <c r="R54" s="842"/>
      <c r="S54" s="843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ht="15.75" customHeight="1" thickBot="1" x14ac:dyDescent="0.3">
      <c r="A55" s="860"/>
      <c r="B55" s="851"/>
      <c r="C55" s="861"/>
      <c r="D55" s="386" t="str">
        <f>'Front Page'!$D$5</f>
        <v>Project</v>
      </c>
      <c r="E55" s="899"/>
      <c r="F55" s="835"/>
      <c r="G55" s="131" t="s">
        <v>5</v>
      </c>
      <c r="H55" s="132"/>
      <c r="I55" s="228"/>
      <c r="J55" s="228"/>
      <c r="K55" s="860"/>
      <c r="L55" s="851"/>
      <c r="M55" s="861"/>
      <c r="N55" s="386" t="str">
        <f>'Front Page'!$D$5</f>
        <v>Project</v>
      </c>
      <c r="O55" s="899"/>
      <c r="P55" s="835"/>
      <c r="Q55" s="844" t="s">
        <v>5</v>
      </c>
      <c r="R55" s="835"/>
      <c r="S55" s="427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ht="13.5" customHeight="1" thickTop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2">
      <c r="A58" s="118" t="s">
        <v>1616</v>
      </c>
      <c r="B58" s="5"/>
      <c r="C58" s="5"/>
      <c r="D58" s="5"/>
      <c r="E58" s="5"/>
      <c r="F58" s="5"/>
      <c r="G58" s="5"/>
      <c r="H58" s="5"/>
      <c r="I58" s="5"/>
      <c r="J58" s="5"/>
      <c r="K58" s="118" t="s">
        <v>1616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2">
      <c r="A59" s="118"/>
      <c r="B59" s="5"/>
      <c r="C59" s="5"/>
      <c r="D59" s="5"/>
      <c r="E59" s="5"/>
      <c r="F59" s="5"/>
      <c r="G59" s="5"/>
      <c r="H59" s="5"/>
      <c r="I59" s="5"/>
      <c r="J59" s="5"/>
      <c r="K59" s="118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2">
      <c r="A60" s="5"/>
      <c r="B60" s="14" t="s">
        <v>1617</v>
      </c>
      <c r="C60" s="14" t="s">
        <v>360</v>
      </c>
      <c r="D60" s="14" t="s">
        <v>1618</v>
      </c>
      <c r="E60" s="14" t="s">
        <v>1320</v>
      </c>
      <c r="F60" s="14" t="s">
        <v>1619</v>
      </c>
      <c r="G60" s="14" t="s">
        <v>1136</v>
      </c>
      <c r="H60" s="5"/>
      <c r="I60" s="457" t="s">
        <v>1137</v>
      </c>
      <c r="J60" s="5"/>
      <c r="K60" s="5" t="s">
        <v>1620</v>
      </c>
      <c r="L60" s="14" t="s">
        <v>1617</v>
      </c>
      <c r="M60" s="14" t="s">
        <v>360</v>
      </c>
      <c r="N60" s="14" t="s">
        <v>1618</v>
      </c>
      <c r="O60" s="14" t="s">
        <v>1320</v>
      </c>
      <c r="P60" s="14" t="s">
        <v>1619</v>
      </c>
      <c r="Q60" s="14" t="s">
        <v>1136</v>
      </c>
      <c r="R60" s="14"/>
      <c r="S60" s="64" t="s">
        <v>1137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2">
      <c r="A61" s="5"/>
      <c r="B61" s="14" t="s">
        <v>247</v>
      </c>
      <c r="C61" s="14" t="s">
        <v>247</v>
      </c>
      <c r="D61" s="14" t="s">
        <v>1621</v>
      </c>
      <c r="E61" s="14" t="s">
        <v>247</v>
      </c>
      <c r="F61" s="14" t="s">
        <v>1621</v>
      </c>
      <c r="G61" s="5"/>
      <c r="H61" s="5"/>
      <c r="I61" s="266"/>
      <c r="J61" s="5"/>
      <c r="K61" s="5"/>
      <c r="L61" s="170" t="s">
        <v>248</v>
      </c>
      <c r="M61" s="170" t="s">
        <v>248</v>
      </c>
      <c r="N61" s="170" t="s">
        <v>1622</v>
      </c>
      <c r="O61" s="170" t="s">
        <v>248</v>
      </c>
      <c r="P61" s="170" t="s">
        <v>1622</v>
      </c>
      <c r="Q61" s="5"/>
      <c r="R61" s="5"/>
      <c r="S61" s="64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2">
      <c r="A62" s="5">
        <v>1</v>
      </c>
      <c r="B62" s="263">
        <f t="shared" ref="B62:B67" si="6">$B$42*A62</f>
        <v>3300</v>
      </c>
      <c r="C62" s="216">
        <v>6</v>
      </c>
      <c r="D62" s="263">
        <f t="shared" ref="D62:D67" si="7">0.0001*($B$13/304.8)^2*$B$42/304.8*25.4^3</f>
        <v>104568.74999999996</v>
      </c>
      <c r="E62" s="263">
        <f>1.47*($B$13*B29/(304.8*25.4))^0.5*25.6</f>
        <v>160.25681763574119</v>
      </c>
      <c r="F62" s="263">
        <f>$B$19*$B$20*$B$19/2+E62*2*B29*B29/2</f>
        <v>142969.24543488669</v>
      </c>
      <c r="G62" s="265">
        <f t="shared" ref="G62:G67" si="8">F62/D62</f>
        <v>1.3672272589553451</v>
      </c>
      <c r="H62" s="563" t="str">
        <f t="shared" ref="H62:H67" si="9">IF(G62&gt;1,"OK","ERROR")</f>
        <v>OK</v>
      </c>
      <c r="I62" s="457">
        <f>+IF(B62&lt;C38,1,"roof")</f>
        <v>1</v>
      </c>
      <c r="J62" s="5"/>
      <c r="K62" s="5">
        <v>1</v>
      </c>
      <c r="L62" s="598">
        <f t="shared" ref="L62:M67" si="10">B62/25.4</f>
        <v>129.9212598425197</v>
      </c>
      <c r="M62" s="378">
        <f t="shared" si="10"/>
        <v>0.23622047244094491</v>
      </c>
      <c r="N62" s="426">
        <f t="shared" ref="N62:N67" si="11">D62/(25.4*25.4*25.4)</f>
        <v>6.3811766403060348</v>
      </c>
      <c r="O62" s="378">
        <f t="shared" ref="O62:O67" si="12">E62/25.4</f>
        <v>6.3093235289661891</v>
      </c>
      <c r="P62" s="426">
        <f t="shared" ref="P62:P67" si="13">F62/(25.4*25.4*25.4)</f>
        <v>8.7245186468354987</v>
      </c>
      <c r="Q62" s="265">
        <f t="shared" ref="Q62:Q67" si="14">P62/N62</f>
        <v>1.3672272589553451</v>
      </c>
      <c r="R62" s="563" t="str">
        <f t="shared" ref="R62:R67" si="15">IF(Q62&gt;1,"OK","ERROR")</f>
        <v>OK</v>
      </c>
      <c r="S62" s="170">
        <f t="shared" ref="S62:S67" si="16">+I62</f>
        <v>1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">
      <c r="A63" s="5">
        <v>2</v>
      </c>
      <c r="B63" s="263">
        <f t="shared" si="6"/>
        <v>6600</v>
      </c>
      <c r="C63" s="216">
        <v>6</v>
      </c>
      <c r="D63" s="263">
        <f t="shared" si="7"/>
        <v>104568.74999999996</v>
      </c>
      <c r="E63" s="263">
        <f>1.47*($B$13*B29/(304.8*25.4))^0.5*25.6</f>
        <v>160.25681763574119</v>
      </c>
      <c r="F63" s="263">
        <f>$B$19*$B$20*$B$19/2+E63*2*B29*B29/2</f>
        <v>142969.24543488669</v>
      </c>
      <c r="G63" s="265">
        <f t="shared" si="8"/>
        <v>1.3672272589553451</v>
      </c>
      <c r="H63" s="563" t="str">
        <f t="shared" si="9"/>
        <v>OK</v>
      </c>
      <c r="I63" s="457">
        <f>+IF(B63&lt;C38,I62+1,"roof")</f>
        <v>2</v>
      </c>
      <c r="J63" s="5"/>
      <c r="K63" s="5">
        <v>2</v>
      </c>
      <c r="L63" s="598">
        <f t="shared" si="10"/>
        <v>259.84251968503941</v>
      </c>
      <c r="M63" s="378">
        <f t="shared" si="10"/>
        <v>0.23622047244094491</v>
      </c>
      <c r="N63" s="426">
        <f t="shared" si="11"/>
        <v>6.3811766403060348</v>
      </c>
      <c r="O63" s="378">
        <f t="shared" si="12"/>
        <v>6.3093235289661891</v>
      </c>
      <c r="P63" s="426">
        <f t="shared" si="13"/>
        <v>8.7245186468354987</v>
      </c>
      <c r="Q63" s="265">
        <f t="shared" si="14"/>
        <v>1.3672272589553451</v>
      </c>
      <c r="R63" s="563" t="str">
        <f t="shared" si="15"/>
        <v>OK</v>
      </c>
      <c r="S63" s="170">
        <f t="shared" si="16"/>
        <v>2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2">
      <c r="A64" s="5">
        <v>3</v>
      </c>
      <c r="B64" s="263">
        <f t="shared" si="6"/>
        <v>9900</v>
      </c>
      <c r="C64" s="216">
        <v>6</v>
      </c>
      <c r="D64" s="263">
        <f t="shared" si="7"/>
        <v>104568.74999999996</v>
      </c>
      <c r="E64" s="263">
        <f>1.47*($B$13*B30/(304.8*25.4))^0.5*25.6</f>
        <v>160.25681763574119</v>
      </c>
      <c r="F64" s="263">
        <f>$B$19*$B$20*$B$19/2+E64*2*B30*B30/2</f>
        <v>142969.24543488669</v>
      </c>
      <c r="G64" s="265">
        <f t="shared" si="8"/>
        <v>1.3672272589553451</v>
      </c>
      <c r="H64" s="563" t="str">
        <f t="shared" si="9"/>
        <v>OK</v>
      </c>
      <c r="I64" s="457" t="str">
        <f>+IF(B64&lt;C38,I63+1,"roof")</f>
        <v>roof</v>
      </c>
      <c r="J64" s="5"/>
      <c r="K64" s="5">
        <v>3</v>
      </c>
      <c r="L64" s="598">
        <f t="shared" si="10"/>
        <v>389.76377952755905</v>
      </c>
      <c r="M64" s="378">
        <f t="shared" si="10"/>
        <v>0.23622047244094491</v>
      </c>
      <c r="N64" s="426">
        <f t="shared" si="11"/>
        <v>6.3811766403060348</v>
      </c>
      <c r="O64" s="378">
        <f t="shared" si="12"/>
        <v>6.3093235289661891</v>
      </c>
      <c r="P64" s="426">
        <f t="shared" si="13"/>
        <v>8.7245186468354987</v>
      </c>
      <c r="Q64" s="265">
        <f t="shared" si="14"/>
        <v>1.3672272589553451</v>
      </c>
      <c r="R64" s="563" t="str">
        <f t="shared" si="15"/>
        <v>OK</v>
      </c>
      <c r="S64" s="170" t="str">
        <f t="shared" si="16"/>
        <v>roof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2">
      <c r="A65" s="5">
        <v>4</v>
      </c>
      <c r="B65" s="263">
        <f t="shared" si="6"/>
        <v>13200</v>
      </c>
      <c r="C65" s="216">
        <v>6</v>
      </c>
      <c r="D65" s="263">
        <f t="shared" si="7"/>
        <v>104568.74999999996</v>
      </c>
      <c r="E65" s="263">
        <f>1.47*($B$13*B31/(304.8*25.4))^0.5*25.6</f>
        <v>160.25681763574119</v>
      </c>
      <c r="F65" s="263">
        <f>$B$19*$B$20*$B$19/2+E65*2*B31*B31/2</f>
        <v>142969.24543488669</v>
      </c>
      <c r="G65" s="265">
        <f t="shared" si="8"/>
        <v>1.3672272589553451</v>
      </c>
      <c r="H65" s="563" t="str">
        <f t="shared" si="9"/>
        <v>OK</v>
      </c>
      <c r="I65" s="457" t="str">
        <f>+IF(B65&lt;C38,I64+1,"roof")</f>
        <v>roof</v>
      </c>
      <c r="J65" s="5"/>
      <c r="K65" s="5">
        <v>4</v>
      </c>
      <c r="L65" s="598">
        <f t="shared" si="10"/>
        <v>519.68503937007881</v>
      </c>
      <c r="M65" s="378">
        <f t="shared" si="10"/>
        <v>0.23622047244094491</v>
      </c>
      <c r="N65" s="426">
        <f t="shared" si="11"/>
        <v>6.3811766403060348</v>
      </c>
      <c r="O65" s="378">
        <f t="shared" si="12"/>
        <v>6.3093235289661891</v>
      </c>
      <c r="P65" s="426">
        <f t="shared" si="13"/>
        <v>8.7245186468354987</v>
      </c>
      <c r="Q65" s="265">
        <f t="shared" si="14"/>
        <v>1.3672272589553451</v>
      </c>
      <c r="R65" s="563" t="str">
        <f t="shared" si="15"/>
        <v>OK</v>
      </c>
      <c r="S65" s="170" t="str">
        <f t="shared" si="16"/>
        <v>roof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2">
      <c r="A66" s="5">
        <v>5</v>
      </c>
      <c r="B66" s="263">
        <f t="shared" si="6"/>
        <v>16500</v>
      </c>
      <c r="C66" s="216">
        <v>6</v>
      </c>
      <c r="D66" s="263">
        <f t="shared" si="7"/>
        <v>104568.74999999996</v>
      </c>
      <c r="E66" s="263">
        <f>1.47*($B$13*B32/(304.8*25.4))^0.5*25.6</f>
        <v>0</v>
      </c>
      <c r="F66" s="263">
        <f>$B$19*$B$20*$B$19/2+E66*2*B32*B32/2</f>
        <v>137200</v>
      </c>
      <c r="G66" s="265">
        <f t="shared" si="8"/>
        <v>1.3120554659016204</v>
      </c>
      <c r="H66" s="563" t="str">
        <f t="shared" si="9"/>
        <v>OK</v>
      </c>
      <c r="I66" s="457" t="str">
        <f>+IF(B66&lt;C38,I65+1,"roof")</f>
        <v>roof</v>
      </c>
      <c r="J66" s="5"/>
      <c r="K66" s="5">
        <v>5</v>
      </c>
      <c r="L66" s="598">
        <f t="shared" si="10"/>
        <v>649.60629921259851</v>
      </c>
      <c r="M66" s="378">
        <f t="shared" si="10"/>
        <v>0.23622047244094491</v>
      </c>
      <c r="N66" s="426">
        <f t="shared" si="11"/>
        <v>6.3811766403060348</v>
      </c>
      <c r="O66" s="378">
        <f t="shared" si="12"/>
        <v>0</v>
      </c>
      <c r="P66" s="426">
        <f t="shared" si="13"/>
        <v>8.3724576897972707</v>
      </c>
      <c r="Q66" s="265">
        <f t="shared" si="14"/>
        <v>1.3120554659016204</v>
      </c>
      <c r="R66" s="563" t="str">
        <f t="shared" si="15"/>
        <v>OK</v>
      </c>
      <c r="S66" s="170" t="str">
        <f t="shared" si="16"/>
        <v>roof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2">
      <c r="A67" s="5">
        <v>6</v>
      </c>
      <c r="B67" s="263">
        <f t="shared" si="6"/>
        <v>19800</v>
      </c>
      <c r="C67" s="216">
        <v>6</v>
      </c>
      <c r="D67" s="263">
        <f t="shared" si="7"/>
        <v>104568.74999999996</v>
      </c>
      <c r="E67" s="263">
        <f>1.47*($B$13*B33/(304.8*25.4))^0.5*25.6</f>
        <v>0</v>
      </c>
      <c r="F67" s="263">
        <f>$B$19*$B$20*$B$19/2+E67*2*B33*B33/2</f>
        <v>137200</v>
      </c>
      <c r="G67" s="265">
        <f t="shared" si="8"/>
        <v>1.3120554659016204</v>
      </c>
      <c r="H67" s="563" t="str">
        <f t="shared" si="9"/>
        <v>OK</v>
      </c>
      <c r="I67" s="457" t="str">
        <f>+IF(B67&lt;C38,I66+1,"roof")</f>
        <v>roof</v>
      </c>
      <c r="J67" s="5"/>
      <c r="K67" s="5">
        <v>6</v>
      </c>
      <c r="L67" s="598">
        <f t="shared" si="10"/>
        <v>779.5275590551181</v>
      </c>
      <c r="M67" s="378">
        <f t="shared" si="10"/>
        <v>0.23622047244094491</v>
      </c>
      <c r="N67" s="426">
        <f t="shared" si="11"/>
        <v>6.3811766403060348</v>
      </c>
      <c r="O67" s="378">
        <f t="shared" si="12"/>
        <v>0</v>
      </c>
      <c r="P67" s="426">
        <f t="shared" si="13"/>
        <v>8.3724576897972707</v>
      </c>
      <c r="Q67" s="265">
        <f t="shared" si="14"/>
        <v>1.3120554659016204</v>
      </c>
      <c r="R67" s="563" t="str">
        <f t="shared" si="15"/>
        <v>OK</v>
      </c>
      <c r="S67" s="170" t="str">
        <f t="shared" si="16"/>
        <v>roof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2">
      <c r="A68" s="5"/>
      <c r="B68" s="263"/>
      <c r="C68" s="216"/>
      <c r="D68" s="263"/>
      <c r="E68" s="263"/>
      <c r="F68" s="263"/>
      <c r="G68" s="265"/>
      <c r="H68" s="563"/>
      <c r="I68" s="266"/>
      <c r="J68" s="5"/>
      <c r="K68" s="5"/>
      <c r="L68" s="598"/>
      <c r="M68" s="598"/>
      <c r="N68" s="263"/>
      <c r="O68" s="598"/>
      <c r="P68" s="263"/>
      <c r="Q68" s="265"/>
      <c r="R68" s="265"/>
      <c r="S68" s="598"/>
      <c r="T68" s="14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2">
      <c r="A69" s="5"/>
      <c r="B69" s="263"/>
      <c r="C69" s="216"/>
      <c r="D69" s="263"/>
      <c r="E69" s="263"/>
      <c r="F69" s="263"/>
      <c r="G69" s="265"/>
      <c r="H69" s="563"/>
      <c r="I69" s="5"/>
      <c r="J69" s="5"/>
      <c r="K69" s="5"/>
      <c r="L69" s="598"/>
      <c r="M69" s="598"/>
      <c r="N69" s="263"/>
      <c r="O69" s="598"/>
      <c r="P69" s="263"/>
      <c r="Q69" s="265"/>
      <c r="R69" s="265"/>
      <c r="S69" s="598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2">
      <c r="A71" s="5" t="s">
        <v>1617</v>
      </c>
      <c r="B71" s="5" t="s">
        <v>1623</v>
      </c>
      <c r="C71" s="5"/>
      <c r="D71" s="5"/>
      <c r="E71" s="5"/>
      <c r="F71" s="5"/>
      <c r="G71" s="5"/>
      <c r="H71" s="5"/>
      <c r="I71" s="5"/>
      <c r="J71" s="5"/>
      <c r="K71" s="5" t="s">
        <v>1617</v>
      </c>
      <c r="L71" s="5" t="s">
        <v>1623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2">
      <c r="A72" s="5" t="s">
        <v>360</v>
      </c>
      <c r="B72" s="901" t="s">
        <v>1624</v>
      </c>
      <c r="C72" s="809"/>
      <c r="D72" s="809"/>
      <c r="E72" s="809"/>
      <c r="F72" s="809"/>
      <c r="G72" s="809"/>
      <c r="H72" s="809"/>
      <c r="I72" s="388"/>
      <c r="J72" s="388"/>
      <c r="K72" s="5" t="s">
        <v>360</v>
      </c>
      <c r="L72" s="901" t="s">
        <v>1624</v>
      </c>
      <c r="M72" s="809"/>
      <c r="N72" s="809"/>
      <c r="O72" s="809"/>
      <c r="P72" s="809"/>
      <c r="Q72" s="809"/>
      <c r="R72" s="809"/>
      <c r="S72" s="809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2">
      <c r="A73" s="5"/>
      <c r="B73" s="809"/>
      <c r="C73" s="809"/>
      <c r="D73" s="809"/>
      <c r="E73" s="809"/>
      <c r="F73" s="809"/>
      <c r="G73" s="809"/>
      <c r="H73" s="809"/>
      <c r="I73" s="388"/>
      <c r="J73" s="388"/>
      <c r="K73" s="5"/>
      <c r="L73" s="809"/>
      <c r="M73" s="809"/>
      <c r="N73" s="809"/>
      <c r="O73" s="809"/>
      <c r="P73" s="809"/>
      <c r="Q73" s="809"/>
      <c r="R73" s="809"/>
      <c r="S73" s="809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">
      <c r="A74" s="5" t="s">
        <v>1618</v>
      </c>
      <c r="B74" s="5" t="s">
        <v>1625</v>
      </c>
      <c r="C74" s="5"/>
      <c r="D74" s="5"/>
      <c r="E74" s="5"/>
      <c r="F74" s="5"/>
      <c r="G74" s="5"/>
      <c r="H74" s="5"/>
      <c r="I74" s="5"/>
      <c r="J74" s="5"/>
      <c r="K74" s="5" t="s">
        <v>1618</v>
      </c>
      <c r="L74" s="5" t="s">
        <v>1625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ht="12.75" customHeight="1" x14ac:dyDescent="0.2">
      <c r="A75" s="5" t="s">
        <v>1320</v>
      </c>
      <c r="B75" s="982" t="s">
        <v>1626</v>
      </c>
      <c r="C75" s="809"/>
      <c r="D75" s="809"/>
      <c r="E75" s="809"/>
      <c r="F75" s="809"/>
      <c r="G75" s="5"/>
      <c r="H75" s="5"/>
      <c r="I75" s="5"/>
      <c r="J75" s="5"/>
      <c r="K75" s="5" t="s">
        <v>1320</v>
      </c>
      <c r="L75" s="982" t="s">
        <v>1626</v>
      </c>
      <c r="M75" s="809"/>
      <c r="N75" s="809"/>
      <c r="O75" s="809"/>
      <c r="P75" s="809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2">
      <c r="A76" s="5"/>
      <c r="B76" s="809"/>
      <c r="C76" s="809"/>
      <c r="D76" s="809"/>
      <c r="E76" s="809"/>
      <c r="F76" s="809"/>
      <c r="G76" s="5"/>
      <c r="H76" s="5"/>
      <c r="I76" s="5"/>
      <c r="J76" s="5"/>
      <c r="K76" s="5"/>
      <c r="L76" s="809"/>
      <c r="M76" s="809"/>
      <c r="N76" s="809"/>
      <c r="O76" s="809"/>
      <c r="P76" s="809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2">
      <c r="A77" s="5" t="s">
        <v>1619</v>
      </c>
      <c r="B77" s="5" t="s">
        <v>1627</v>
      </c>
      <c r="C77" s="5"/>
      <c r="D77" s="5"/>
      <c r="E77" s="5"/>
      <c r="F77" s="5"/>
      <c r="G77" s="5"/>
      <c r="H77" s="5"/>
      <c r="I77" s="5"/>
      <c r="J77" s="5"/>
      <c r="K77" s="5" t="s">
        <v>1619</v>
      </c>
      <c r="L77" s="5" t="s">
        <v>1627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</sheetData>
  <mergeCells count="44">
    <mergeCell ref="L72:S73"/>
    <mergeCell ref="L75:P76"/>
    <mergeCell ref="K54:M54"/>
    <mergeCell ref="O54:P54"/>
    <mergeCell ref="Q54:S54"/>
    <mergeCell ref="K55:M55"/>
    <mergeCell ref="O55:P55"/>
    <mergeCell ref="Q55:R55"/>
    <mergeCell ref="K5:M5"/>
    <mergeCell ref="O5:P5"/>
    <mergeCell ref="K7:S9"/>
    <mergeCell ref="K51:M53"/>
    <mergeCell ref="N51:S51"/>
    <mergeCell ref="N52:S52"/>
    <mergeCell ref="N53:S53"/>
    <mergeCell ref="Q5:R5"/>
    <mergeCell ref="K1:M3"/>
    <mergeCell ref="N1:S1"/>
    <mergeCell ref="N2:S2"/>
    <mergeCell ref="N3:S3"/>
    <mergeCell ref="K4:M4"/>
    <mergeCell ref="O4:P4"/>
    <mergeCell ref="Q4:S4"/>
    <mergeCell ref="A1:C3"/>
    <mergeCell ref="D1:H1"/>
    <mergeCell ref="A54:C54"/>
    <mergeCell ref="G54:H54"/>
    <mergeCell ref="D2:H2"/>
    <mergeCell ref="D3:H3"/>
    <mergeCell ref="A4:C4"/>
    <mergeCell ref="E54:F54"/>
    <mergeCell ref="G4:H4"/>
    <mergeCell ref="A5:C5"/>
    <mergeCell ref="A51:C53"/>
    <mergeCell ref="D51:H51"/>
    <mergeCell ref="D52:H52"/>
    <mergeCell ref="D53:H53"/>
    <mergeCell ref="E4:F4"/>
    <mergeCell ref="E5:F5"/>
    <mergeCell ref="A7:H9"/>
    <mergeCell ref="B75:F76"/>
    <mergeCell ref="B72:H73"/>
    <mergeCell ref="E55:F55"/>
    <mergeCell ref="A55:C55"/>
  </mergeCells>
  <pageMargins left="0.74803149606299213" right="0.74803149606299213" top="0.98425196850393704" bottom="0.98425196850393704" header="0" footer="0"/>
  <pageSetup paperSize="9" scale="99" fitToHeight="0" orientation="portrait"/>
  <rowBreaks count="2" manualBreakCount="2">
    <brk id="50" max="7" man="1"/>
    <brk id="50" min="10" max="1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1">
    <tabColor rgb="FF00B050"/>
    <pageSetUpPr fitToPage="1"/>
  </sheetPr>
  <dimension ref="A1:X76"/>
  <sheetViews>
    <sheetView zoomScale="58" workbookViewId="0">
      <selection activeCell="S14" sqref="S14:X17"/>
    </sheetView>
    <sheetView tabSelected="1" workbookViewId="1">
      <selection sqref="A1:AK5"/>
    </sheetView>
  </sheetViews>
  <sheetFormatPr defaultColWidth="11.42578125" defaultRowHeight="12.75" x14ac:dyDescent="0.2"/>
  <cols>
    <col min="1" max="1" width="10" customWidth="1"/>
    <col min="2" max="2" width="10.42578125" customWidth="1"/>
    <col min="3" max="3" width="9.140625" customWidth="1"/>
    <col min="4" max="4" width="8.140625" customWidth="1"/>
    <col min="5" max="5" width="10.42578125" customWidth="1"/>
    <col min="6" max="6" width="9.42578125" customWidth="1"/>
    <col min="7" max="7" width="7.85546875" customWidth="1"/>
    <col min="8" max="8" width="15.85546875" customWidth="1"/>
    <col min="9" max="9" width="12.5703125" customWidth="1"/>
    <col min="10" max="10" width="11.85546875" customWidth="1"/>
    <col min="11" max="11" width="13.140625" customWidth="1"/>
    <col min="12" max="12" width="12.140625" customWidth="1"/>
    <col min="13" max="14" width="12.85546875" customWidth="1"/>
    <col min="15" max="15" width="8.85546875" customWidth="1"/>
    <col min="16" max="16" width="8.140625" customWidth="1"/>
    <col min="18" max="18" width="8.140625" customWidth="1"/>
  </cols>
  <sheetData>
    <row r="1" spans="1:24" ht="17.25" customHeight="1" thickTop="1" thickBot="1" x14ac:dyDescent="0.3">
      <c r="A1" s="988"/>
      <c r="B1" s="823"/>
      <c r="C1" s="871"/>
      <c r="D1" s="934" t="str">
        <f>'Front Page'!$A$13</f>
        <v>Mechanical  Calculations</v>
      </c>
      <c r="E1" s="842"/>
      <c r="F1" s="842"/>
      <c r="G1" s="842"/>
      <c r="H1" s="859"/>
      <c r="I1" s="988"/>
      <c r="J1" s="823"/>
      <c r="K1" s="871"/>
      <c r="L1" s="934" t="str">
        <f>'Front Page'!$A$13</f>
        <v>Mechanical  Calculations</v>
      </c>
      <c r="M1" s="842"/>
      <c r="N1" s="842"/>
      <c r="O1" s="842"/>
      <c r="P1" s="859"/>
      <c r="Q1" s="5"/>
      <c r="R1" s="5"/>
      <c r="S1" s="5"/>
      <c r="T1" s="5"/>
      <c r="U1" s="5"/>
      <c r="V1" s="5"/>
      <c r="W1" s="5"/>
      <c r="X1" s="5"/>
    </row>
    <row r="2" spans="1:24" ht="16.5" customHeight="1" thickBot="1" x14ac:dyDescent="0.3">
      <c r="A2" s="825"/>
      <c r="B2" s="809"/>
      <c r="C2" s="989"/>
      <c r="D2" s="984"/>
      <c r="E2" s="831"/>
      <c r="F2" s="831"/>
      <c r="G2" s="831"/>
      <c r="H2" s="854"/>
      <c r="I2" s="825"/>
      <c r="J2" s="809"/>
      <c r="K2" s="989"/>
      <c r="L2" s="984">
        <f>'Front Page'!$A$21</f>
        <v>0</v>
      </c>
      <c r="M2" s="831"/>
      <c r="N2" s="831"/>
      <c r="O2" s="831"/>
      <c r="P2" s="854"/>
      <c r="Q2" s="5"/>
      <c r="R2" s="5"/>
      <c r="S2" s="5"/>
      <c r="T2" s="5"/>
      <c r="U2" s="5"/>
      <c r="V2" s="5"/>
      <c r="W2" s="5"/>
      <c r="X2" s="5"/>
    </row>
    <row r="3" spans="1:24" ht="16.5" customHeight="1" thickBot="1" x14ac:dyDescent="0.3">
      <c r="A3" s="827"/>
      <c r="B3" s="828"/>
      <c r="C3" s="857"/>
      <c r="D3" s="985" t="s">
        <v>1628</v>
      </c>
      <c r="E3" s="834"/>
      <c r="F3" s="834"/>
      <c r="G3" s="834"/>
      <c r="H3" s="986"/>
      <c r="I3" s="827"/>
      <c r="J3" s="828"/>
      <c r="K3" s="857"/>
      <c r="L3" s="985" t="s">
        <v>1628</v>
      </c>
      <c r="M3" s="834"/>
      <c r="N3" s="834"/>
      <c r="O3" s="834"/>
      <c r="P3" s="986"/>
      <c r="Q3" s="5"/>
      <c r="R3" s="5"/>
      <c r="S3" s="5"/>
      <c r="T3" s="5"/>
      <c r="U3" s="5"/>
      <c r="V3" s="5"/>
      <c r="W3" s="5"/>
      <c r="X3" s="5"/>
    </row>
    <row r="4" spans="1:24" ht="16.5" customHeight="1" thickTop="1" thickBot="1" x14ac:dyDescent="0.3">
      <c r="A4" s="873"/>
      <c r="B4" s="848"/>
      <c r="C4" s="865"/>
      <c r="D4" s="385" t="str">
        <f>'Front Page'!$D$4</f>
        <v>Doc Nº</v>
      </c>
      <c r="E4" s="980"/>
      <c r="F4" s="843"/>
      <c r="G4" s="980"/>
      <c r="H4" s="843"/>
      <c r="I4" s="873"/>
      <c r="J4" s="848"/>
      <c r="K4" s="865"/>
      <c r="L4" s="385" t="str">
        <f>'Front Page'!$D$4</f>
        <v>Doc Nº</v>
      </c>
      <c r="M4" s="980"/>
      <c r="N4" s="843"/>
      <c r="O4" s="980"/>
      <c r="P4" s="843"/>
      <c r="Q4" s="5"/>
      <c r="R4" s="5"/>
      <c r="S4" s="5"/>
      <c r="T4" s="5"/>
      <c r="U4" s="5"/>
      <c r="V4" s="5"/>
      <c r="W4" s="5"/>
      <c r="X4" s="5"/>
    </row>
    <row r="5" spans="1:24" ht="15.75" customHeight="1" thickBot="1" x14ac:dyDescent="0.3">
      <c r="A5" s="860"/>
      <c r="B5" s="851"/>
      <c r="C5" s="861"/>
      <c r="D5" s="386" t="str">
        <f>'Front Page'!$D$5</f>
        <v>Project</v>
      </c>
      <c r="E5" s="899"/>
      <c r="F5" s="835"/>
      <c r="G5" s="131" t="s">
        <v>5</v>
      </c>
      <c r="H5" s="132"/>
      <c r="I5" s="860"/>
      <c r="J5" s="851"/>
      <c r="K5" s="861"/>
      <c r="L5" s="386" t="str">
        <f>'Front Page'!$D$5</f>
        <v>Project</v>
      </c>
      <c r="M5" s="899"/>
      <c r="N5" s="835"/>
      <c r="O5" s="131" t="s">
        <v>5</v>
      </c>
      <c r="P5" s="427"/>
      <c r="Q5" s="5"/>
      <c r="R5" s="5"/>
      <c r="S5" s="5"/>
      <c r="T5" s="5"/>
      <c r="U5" s="5"/>
      <c r="V5" s="5"/>
      <c r="W5" s="5"/>
      <c r="X5" s="5"/>
    </row>
    <row r="6" spans="1:24" ht="13.5" customHeight="1" thickTop="1" x14ac:dyDescent="0.2">
      <c r="A6" s="4"/>
      <c r="B6" s="4"/>
      <c r="C6" s="4"/>
      <c r="D6" s="4"/>
      <c r="E6" s="4"/>
      <c r="F6" s="4"/>
      <c r="G6" s="4"/>
      <c r="H6" s="602"/>
      <c r="I6" s="4"/>
      <c r="J6" s="4"/>
      <c r="K6" s="4"/>
      <c r="L6" s="4"/>
      <c r="M6" s="4"/>
      <c r="N6" s="4"/>
      <c r="O6" s="4"/>
      <c r="P6" s="602"/>
      <c r="Q6" s="5"/>
      <c r="R6" s="5"/>
      <c r="S6" s="5"/>
      <c r="T6" s="5"/>
      <c r="U6" s="5"/>
      <c r="V6" s="5"/>
      <c r="W6" s="5"/>
      <c r="X6" s="5"/>
    </row>
    <row r="7" spans="1:24" ht="18" customHeight="1" x14ac:dyDescent="0.25">
      <c r="A7" s="134" t="s">
        <v>883</v>
      </c>
      <c r="B7" s="5"/>
      <c r="C7" s="5"/>
      <c r="D7" s="5"/>
      <c r="E7" s="65"/>
      <c r="F7" s="65"/>
      <c r="G7" s="142"/>
      <c r="H7" s="603"/>
      <c r="I7" s="134" t="s">
        <v>883</v>
      </c>
      <c r="J7" s="5"/>
      <c r="K7" s="5"/>
      <c r="L7" s="5"/>
      <c r="M7" s="65"/>
      <c r="N7" s="65"/>
      <c r="O7" s="142"/>
      <c r="P7" s="603"/>
      <c r="Q7" s="5"/>
      <c r="R7" s="5"/>
      <c r="S7" s="5"/>
      <c r="T7" s="5"/>
      <c r="U7" s="5"/>
      <c r="V7" s="5"/>
      <c r="W7" s="5"/>
      <c r="X7" s="5"/>
    </row>
    <row r="8" spans="1:24" ht="12" customHeight="1" x14ac:dyDescent="0.2">
      <c r="A8" s="118"/>
      <c r="B8" s="5"/>
      <c r="C8" s="5"/>
      <c r="D8" s="5"/>
      <c r="E8" s="65"/>
      <c r="F8" s="65"/>
      <c r="G8" s="142"/>
      <c r="H8" s="603"/>
      <c r="I8" s="118"/>
      <c r="J8" s="5"/>
      <c r="K8" s="5"/>
      <c r="L8" s="5"/>
      <c r="M8" s="65"/>
      <c r="N8" s="65"/>
      <c r="O8" s="142"/>
      <c r="P8" s="603"/>
      <c r="Q8" s="5"/>
      <c r="R8" s="5"/>
      <c r="S8" s="5"/>
      <c r="T8" s="5"/>
      <c r="U8" s="5"/>
      <c r="V8" s="5"/>
      <c r="W8" s="5"/>
      <c r="X8" s="5"/>
    </row>
    <row r="9" spans="1:24" x14ac:dyDescent="0.2">
      <c r="A9" s="226" t="s">
        <v>898</v>
      </c>
      <c r="B9" s="604">
        <f>'Allowable Stresses'!G17</f>
        <v>104.8</v>
      </c>
      <c r="C9" s="982" t="s">
        <v>1215</v>
      </c>
      <c r="D9" s="809"/>
      <c r="E9" s="809"/>
      <c r="F9" s="809"/>
      <c r="G9" s="809"/>
      <c r="H9" s="212"/>
      <c r="I9" s="226" t="s">
        <v>898</v>
      </c>
      <c r="J9" s="5">
        <f>B9*145.04</f>
        <v>15200.191999999999</v>
      </c>
      <c r="K9" s="982" t="s">
        <v>1215</v>
      </c>
      <c r="L9" s="809"/>
      <c r="M9" s="809"/>
      <c r="N9" s="809"/>
      <c r="O9" s="809"/>
      <c r="P9" s="212"/>
      <c r="Q9" s="5"/>
      <c r="R9" s="5"/>
      <c r="S9" s="5"/>
      <c r="T9" s="5"/>
      <c r="U9" s="5"/>
      <c r="V9" s="5"/>
      <c r="W9" s="5"/>
      <c r="X9" s="5"/>
    </row>
    <row r="10" spans="1:24" x14ac:dyDescent="0.2">
      <c r="A10" s="226"/>
      <c r="B10" s="5"/>
      <c r="C10" s="212"/>
      <c r="D10" s="212"/>
      <c r="E10" s="212"/>
      <c r="F10" s="212"/>
      <c r="G10" s="212"/>
      <c r="H10" s="212"/>
      <c r="I10" s="226"/>
      <c r="J10" s="5"/>
      <c r="K10" s="212"/>
      <c r="L10" s="212"/>
      <c r="M10" s="212"/>
      <c r="N10" s="212"/>
      <c r="O10" s="212"/>
      <c r="P10" s="212"/>
      <c r="Q10" s="5"/>
      <c r="R10" s="5"/>
      <c r="S10" s="5"/>
      <c r="T10" s="5"/>
      <c r="U10" s="5"/>
      <c r="V10" s="5"/>
      <c r="W10" s="5"/>
      <c r="X10" s="5"/>
    </row>
    <row r="11" spans="1:24" ht="12.75" customHeight="1" x14ac:dyDescent="0.2">
      <c r="A11" s="226" t="s">
        <v>906</v>
      </c>
      <c r="B11" s="216">
        <v>0.35</v>
      </c>
      <c r="C11" s="982" t="s">
        <v>1217</v>
      </c>
      <c r="D11" s="809"/>
      <c r="E11" s="809"/>
      <c r="F11" s="809"/>
      <c r="G11" s="809"/>
      <c r="H11" s="603"/>
      <c r="I11" s="226" t="s">
        <v>906</v>
      </c>
      <c r="J11" s="216">
        <v>0.35</v>
      </c>
      <c r="K11" s="982" t="s">
        <v>1217</v>
      </c>
      <c r="L11" s="809"/>
      <c r="M11" s="809"/>
      <c r="N11" s="809"/>
      <c r="O11" s="809"/>
      <c r="P11" s="603"/>
      <c r="Q11" s="5"/>
      <c r="R11" s="5"/>
      <c r="S11" s="5"/>
      <c r="T11" s="5"/>
      <c r="U11" s="5"/>
      <c r="V11" s="5"/>
      <c r="W11" s="5"/>
      <c r="X11" s="5"/>
    </row>
    <row r="12" spans="1:24" x14ac:dyDescent="0.2">
      <c r="A12" s="226" t="s">
        <v>1218</v>
      </c>
      <c r="B12" s="389">
        <f>'Main Dimensions Calcs'!D33/1000</f>
        <v>19.399999999999999</v>
      </c>
      <c r="C12" s="5" t="s">
        <v>1220</v>
      </c>
      <c r="D12" s="5"/>
      <c r="E12" s="5"/>
      <c r="F12" s="5"/>
      <c r="G12" s="212"/>
      <c r="H12" s="603"/>
      <c r="I12" s="226" t="s">
        <v>1218</v>
      </c>
      <c r="J12" s="332">
        <f>B12*1000/25.4</f>
        <v>763.77952755905517</v>
      </c>
      <c r="K12" s="64" t="s">
        <v>1219</v>
      </c>
      <c r="L12" s="5"/>
      <c r="M12" s="5"/>
      <c r="N12" s="5"/>
      <c r="O12" s="212"/>
      <c r="P12" s="603"/>
      <c r="Q12" s="5"/>
      <c r="R12" s="5"/>
      <c r="S12" s="5"/>
      <c r="T12" s="5"/>
      <c r="U12" s="5"/>
      <c r="V12" s="5"/>
      <c r="W12" s="5"/>
      <c r="X12" s="5"/>
    </row>
    <row r="13" spans="1:24" ht="17.25" customHeight="1" x14ac:dyDescent="0.2">
      <c r="A13" s="226" t="s">
        <v>908</v>
      </c>
      <c r="B13" s="389">
        <f>'Main Dimensions Calcs'!D32/1000</f>
        <v>23.4</v>
      </c>
      <c r="C13" s="5" t="s">
        <v>909</v>
      </c>
      <c r="D13" s="5"/>
      <c r="E13" s="5"/>
      <c r="F13" s="5"/>
      <c r="G13" s="212"/>
      <c r="H13" s="265"/>
      <c r="I13" s="226" t="s">
        <v>908</v>
      </c>
      <c r="J13" s="332">
        <f>B13*1000/25.4</f>
        <v>921.25984251968509</v>
      </c>
      <c r="K13" s="64" t="s">
        <v>910</v>
      </c>
      <c r="L13" s="5"/>
      <c r="M13" s="5"/>
      <c r="N13" s="5"/>
      <c r="O13" s="212"/>
      <c r="P13" s="265"/>
      <c r="Q13" s="5"/>
      <c r="R13" s="5"/>
      <c r="S13" s="64"/>
      <c r="T13" s="5"/>
      <c r="U13" s="5"/>
      <c r="V13" s="5"/>
      <c r="W13" s="5"/>
      <c r="X13" s="5"/>
    </row>
    <row r="14" spans="1:24" ht="13.35" customHeight="1" x14ac:dyDescent="0.2">
      <c r="A14" s="226"/>
      <c r="B14" s="5"/>
      <c r="C14" s="5"/>
      <c r="D14" s="5"/>
      <c r="E14" s="5"/>
      <c r="F14" s="5"/>
      <c r="G14" s="5"/>
      <c r="H14" s="265"/>
      <c r="I14" s="226"/>
      <c r="J14" s="5"/>
      <c r="K14" s="5"/>
      <c r="L14" s="5"/>
      <c r="M14" s="5"/>
      <c r="N14" s="5"/>
      <c r="O14" s="5"/>
      <c r="P14" s="265"/>
      <c r="Q14" s="5"/>
      <c r="R14" s="5"/>
      <c r="S14" s="1027" t="s">
        <v>1236</v>
      </c>
      <c r="T14" s="809"/>
      <c r="U14" s="809"/>
      <c r="V14" s="809"/>
      <c r="W14" s="809"/>
      <c r="X14" s="809"/>
    </row>
    <row r="15" spans="1:24" x14ac:dyDescent="0.2">
      <c r="A15" s="226"/>
      <c r="B15" s="5"/>
      <c r="C15" s="982" t="s">
        <v>884</v>
      </c>
      <c r="D15" s="809"/>
      <c r="E15" s="809"/>
      <c r="F15" s="809"/>
      <c r="G15" s="809"/>
      <c r="H15" s="809"/>
      <c r="I15" s="1026" t="s">
        <v>197</v>
      </c>
      <c r="J15" s="5"/>
      <c r="K15" s="901" t="s">
        <v>885</v>
      </c>
      <c r="L15" s="809"/>
      <c r="M15" s="809"/>
      <c r="N15" s="809"/>
      <c r="O15" s="809"/>
      <c r="P15" s="265"/>
      <c r="Q15" s="5"/>
      <c r="R15" s="5"/>
      <c r="S15" s="809"/>
      <c r="T15" s="809"/>
      <c r="U15" s="809"/>
      <c r="V15" s="809"/>
      <c r="W15" s="809"/>
      <c r="X15" s="809"/>
    </row>
    <row r="16" spans="1:24" ht="12.75" customHeight="1" x14ac:dyDescent="0.2">
      <c r="A16" s="226" t="s">
        <v>197</v>
      </c>
      <c r="B16" s="5"/>
      <c r="C16" s="809"/>
      <c r="D16" s="809"/>
      <c r="E16" s="809"/>
      <c r="F16" s="809"/>
      <c r="G16" s="809"/>
      <c r="H16" s="809"/>
      <c r="I16" s="809"/>
      <c r="J16" s="5"/>
      <c r="K16" s="809"/>
      <c r="L16" s="809"/>
      <c r="M16" s="809"/>
      <c r="N16" s="809"/>
      <c r="O16" s="809"/>
      <c r="P16" s="265"/>
      <c r="Q16" s="5"/>
      <c r="R16" s="5"/>
      <c r="S16" s="809"/>
      <c r="T16" s="809"/>
      <c r="U16" s="809"/>
      <c r="V16" s="809"/>
      <c r="W16" s="809"/>
      <c r="X16" s="809"/>
    </row>
    <row r="17" spans="1:24" ht="16.5" customHeight="1" x14ac:dyDescent="0.2">
      <c r="A17" s="226" t="s">
        <v>1050</v>
      </c>
      <c r="B17" s="433">
        <f>+'Design Conditions'!J38/10000</f>
        <v>2.4400000000000002E-2</v>
      </c>
      <c r="C17" s="64" t="s">
        <v>1629</v>
      </c>
      <c r="D17" s="5"/>
      <c r="E17" s="65"/>
      <c r="F17" s="65"/>
      <c r="G17" s="142"/>
      <c r="H17" s="297"/>
      <c r="I17" s="605" t="s">
        <v>1050</v>
      </c>
      <c r="J17" s="606">
        <f>+B17*14.22</f>
        <v>0.34696800000000005</v>
      </c>
      <c r="K17" s="64" t="s">
        <v>1630</v>
      </c>
      <c r="L17" s="266"/>
      <c r="M17" s="65"/>
      <c r="N17" s="65"/>
      <c r="O17" s="142"/>
      <c r="P17" s="297"/>
      <c r="Q17" s="5"/>
      <c r="R17" s="5"/>
      <c r="S17" s="809"/>
      <c r="T17" s="809"/>
      <c r="U17" s="809"/>
      <c r="V17" s="809"/>
      <c r="W17" s="809"/>
      <c r="X17" s="809"/>
    </row>
    <row r="18" spans="1:24" ht="13.5" customHeight="1" x14ac:dyDescent="0.2">
      <c r="A18" s="226" t="s">
        <v>892</v>
      </c>
      <c r="B18" s="5"/>
      <c r="C18" s="64" t="s">
        <v>1631</v>
      </c>
      <c r="D18" s="5"/>
      <c r="E18" s="5"/>
      <c r="F18" s="5"/>
      <c r="G18" s="142"/>
      <c r="H18" s="297"/>
      <c r="I18" s="605" t="s">
        <v>892</v>
      </c>
      <c r="J18" s="5"/>
      <c r="K18" s="64" t="s">
        <v>1632</v>
      </c>
      <c r="L18" s="5"/>
      <c r="M18" s="5"/>
      <c r="N18" s="5"/>
      <c r="O18" s="142"/>
      <c r="P18" s="297"/>
      <c r="Q18" s="5"/>
      <c r="R18" s="5"/>
      <c r="S18" s="5"/>
      <c r="T18" s="5"/>
      <c r="U18" s="64" t="s">
        <v>1263</v>
      </c>
      <c r="V18" s="64" t="s">
        <v>1264</v>
      </c>
      <c r="W18" s="5"/>
      <c r="X18" s="5"/>
    </row>
    <row r="19" spans="1:24" ht="15.75" customHeight="1" x14ac:dyDescent="0.2">
      <c r="A19" s="226" t="s">
        <v>895</v>
      </c>
      <c r="B19" s="5"/>
      <c r="C19" s="64" t="s">
        <v>1633</v>
      </c>
      <c r="D19" s="5"/>
      <c r="E19" s="5"/>
      <c r="F19" s="5"/>
      <c r="G19" s="142"/>
      <c r="H19" s="297"/>
      <c r="I19" s="605" t="s">
        <v>895</v>
      </c>
      <c r="J19" s="5"/>
      <c r="K19" s="64" t="s">
        <v>1634</v>
      </c>
      <c r="L19" s="5"/>
      <c r="M19" s="5"/>
      <c r="N19" s="5"/>
      <c r="O19" s="142"/>
      <c r="P19" s="297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329" t="s">
        <v>1635</v>
      </c>
      <c r="B20" s="266">
        <f>+'Main Dimensions Calcs'!D35</f>
        <v>12</v>
      </c>
      <c r="C20" s="266" t="s">
        <v>1636</v>
      </c>
      <c r="D20" s="5"/>
      <c r="E20" s="5"/>
      <c r="F20" s="5"/>
      <c r="G20" s="5"/>
      <c r="H20" s="265"/>
      <c r="I20" s="607" t="s">
        <v>1635</v>
      </c>
      <c r="J20" s="534">
        <f>+B20/25.4</f>
        <v>0.47244094488188981</v>
      </c>
      <c r="K20" s="64" t="s">
        <v>1637</v>
      </c>
      <c r="L20" s="64"/>
      <c r="M20" s="64"/>
      <c r="N20" s="5"/>
      <c r="O20" s="5"/>
      <c r="P20" s="265"/>
      <c r="Q20" s="5"/>
      <c r="R20" s="5"/>
      <c r="S20" s="5"/>
      <c r="T20" s="5"/>
      <c r="U20" s="5"/>
      <c r="V20" s="5"/>
      <c r="W20" s="5"/>
      <c r="X20" s="5"/>
    </row>
    <row r="21" spans="1:24" ht="38.25" customHeight="1" x14ac:dyDescent="0.2">
      <c r="A21" s="14"/>
      <c r="B21" s="14"/>
      <c r="C21" s="14"/>
      <c r="D21" s="14"/>
      <c r="E21" s="14"/>
      <c r="F21" s="218" t="s">
        <v>1228</v>
      </c>
      <c r="G21" s="5"/>
      <c r="H21" s="265"/>
      <c r="I21" s="14"/>
      <c r="J21" s="14"/>
      <c r="K21" s="14"/>
      <c r="L21" s="14"/>
      <c r="M21" s="14"/>
      <c r="N21" s="518" t="s">
        <v>1229</v>
      </c>
      <c r="O21" s="5"/>
      <c r="P21" s="265"/>
      <c r="Q21" s="5"/>
      <c r="R21" s="5"/>
      <c r="S21" s="341" t="s">
        <v>1449</v>
      </c>
      <c r="T21" s="248">
        <f>+C24</f>
        <v>-2.4400000000000002E-2</v>
      </c>
      <c r="U21" s="5"/>
      <c r="V21" s="5"/>
      <c r="W21" s="5"/>
      <c r="X21" s="5"/>
    </row>
    <row r="22" spans="1:24" ht="38.25" customHeight="1" x14ac:dyDescent="0.2">
      <c r="A22" s="14"/>
      <c r="B22" s="14"/>
      <c r="C22" s="14"/>
      <c r="D22" s="14"/>
      <c r="E22" s="14"/>
      <c r="F22" s="218" t="s">
        <v>1231</v>
      </c>
      <c r="G22" s="5"/>
      <c r="H22" s="265"/>
      <c r="I22" s="14"/>
      <c r="J22" s="14"/>
      <c r="K22" s="14"/>
      <c r="L22" s="14"/>
      <c r="M22" s="14"/>
      <c r="N22" s="519" t="s">
        <v>1231</v>
      </c>
      <c r="O22" s="5"/>
      <c r="P22" s="265"/>
      <c r="Q22" s="5"/>
      <c r="R22" s="341" t="s">
        <v>702</v>
      </c>
      <c r="S22" s="565">
        <f>+B24</f>
        <v>-49872.832985578149</v>
      </c>
      <c r="T22" s="341" t="s">
        <v>1240</v>
      </c>
      <c r="U22" s="503">
        <f>+E24</f>
        <v>-1.789692910744813E-3</v>
      </c>
      <c r="V22" s="143" t="s">
        <v>1638</v>
      </c>
      <c r="W22" s="41"/>
      <c r="X22" s="42"/>
    </row>
    <row r="23" spans="1:24" ht="25.5" customHeight="1" x14ac:dyDescent="0.2">
      <c r="A23" s="14"/>
      <c r="B23" s="14" t="s">
        <v>197</v>
      </c>
      <c r="C23" s="14" t="s">
        <v>1050</v>
      </c>
      <c r="D23" s="14" t="s">
        <v>892</v>
      </c>
      <c r="E23" s="14" t="s">
        <v>895</v>
      </c>
      <c r="F23" s="14" t="s">
        <v>925</v>
      </c>
      <c r="G23" s="5"/>
      <c r="H23" s="265"/>
      <c r="I23" s="402"/>
      <c r="J23" s="140" t="s">
        <v>1639</v>
      </c>
      <c r="K23" s="491" t="s">
        <v>1640</v>
      </c>
      <c r="L23" s="140" t="s">
        <v>1641</v>
      </c>
      <c r="M23" s="140" t="s">
        <v>1642</v>
      </c>
      <c r="N23" s="140" t="s">
        <v>926</v>
      </c>
      <c r="O23" s="5"/>
      <c r="P23" s="265"/>
      <c r="Q23" s="5"/>
      <c r="R23" s="5"/>
      <c r="S23" s="5"/>
      <c r="T23" s="332"/>
      <c r="U23" s="5"/>
      <c r="V23" s="150" t="s">
        <v>1257</v>
      </c>
      <c r="W23" s="5"/>
      <c r="X23" s="103"/>
    </row>
    <row r="24" spans="1:24" ht="25.5" customHeight="1" x14ac:dyDescent="0.25">
      <c r="A24" s="218" t="s">
        <v>1643</v>
      </c>
      <c r="B24" s="608">
        <f>-'Weight Calculations'!H162</f>
        <v>-49872.832985578149</v>
      </c>
      <c r="C24" s="450">
        <f>-B17</f>
        <v>-2.4400000000000002E-2</v>
      </c>
      <c r="D24" s="489">
        <f>-'Design Conditions'!G22</f>
        <v>-5.0000000000000001E-3</v>
      </c>
      <c r="E24" s="494">
        <f>-('Wind Forces'!B128/1000000)+('Design Conditions'!J31/1000000)</f>
        <v>-1.789692910744813E-3</v>
      </c>
      <c r="F24" s="490">
        <f>D24*0.1+E24*0.1+C24*0.1+B24*9.8/(PI()*$B$13^2*1000000/4)</f>
        <v>-4.2554668785882909E-3</v>
      </c>
      <c r="G24" s="212"/>
      <c r="H24" s="297"/>
      <c r="I24" s="508" t="s">
        <v>1643</v>
      </c>
      <c r="J24" s="403">
        <f>B24*2.2</f>
        <v>-109720.23256827194</v>
      </c>
      <c r="K24" s="609">
        <f>J17</f>
        <v>0.34696800000000005</v>
      </c>
      <c r="L24" s="610">
        <f t="shared" ref="L24:M26" si="0">D24*14.5</f>
        <v>-7.2499999999999995E-2</v>
      </c>
      <c r="M24" s="430">
        <f t="shared" si="0"/>
        <v>-2.5950547205799788E-2</v>
      </c>
      <c r="N24" s="611">
        <f>F24*145.04</f>
        <v>-0.61721291607044571</v>
      </c>
      <c r="O24" s="212"/>
      <c r="P24" s="297"/>
      <c r="Q24" s="5"/>
      <c r="R24" s="5"/>
      <c r="S24" s="5"/>
      <c r="T24" s="5"/>
      <c r="U24" s="5"/>
      <c r="V24" s="64" t="s">
        <v>1644</v>
      </c>
      <c r="W24" s="5"/>
      <c r="X24" s="5"/>
    </row>
    <row r="25" spans="1:24" ht="25.5" customHeight="1" x14ac:dyDescent="0.25">
      <c r="A25" s="218" t="s">
        <v>1235</v>
      </c>
      <c r="B25" s="608">
        <f>-'Weight Calculations'!H162</f>
        <v>-49872.832985578149</v>
      </c>
      <c r="C25" s="219">
        <v>0</v>
      </c>
      <c r="D25" s="489">
        <f>+'Design Conditions'!J16</f>
        <v>8.0000000000000002E-3</v>
      </c>
      <c r="E25" s="494">
        <v>0</v>
      </c>
      <c r="F25" s="490">
        <f>D25*0.1-E25*0.1-B25*9.8/(PI()*$B$13^2*1000000/4)-C25*0.1</f>
        <v>1.9364975875138094E-3</v>
      </c>
      <c r="G25" s="5"/>
      <c r="H25" s="265"/>
      <c r="I25" s="508" t="s">
        <v>1235</v>
      </c>
      <c r="J25" s="403">
        <f>B25*2.2</f>
        <v>-109720.23256827194</v>
      </c>
      <c r="K25" s="612"/>
      <c r="L25" s="610">
        <f t="shared" si="0"/>
        <v>0.11600000000000001</v>
      </c>
      <c r="M25" s="430">
        <f t="shared" si="0"/>
        <v>0</v>
      </c>
      <c r="N25" s="611">
        <f>F25*145.04</f>
        <v>0.28086961009300293</v>
      </c>
      <c r="O25" s="5"/>
      <c r="P25" s="265"/>
      <c r="Q25" s="5"/>
      <c r="R25" s="5"/>
      <c r="S25" s="341" t="s">
        <v>1248</v>
      </c>
      <c r="T25" s="503">
        <f>+D24</f>
        <v>-5.0000000000000001E-3</v>
      </c>
      <c r="U25" s="5"/>
      <c r="V25" s="150" t="s">
        <v>1645</v>
      </c>
      <c r="W25" s="5"/>
      <c r="X25" s="103"/>
    </row>
    <row r="26" spans="1:24" ht="17.25" customHeight="1" x14ac:dyDescent="0.25">
      <c r="A26" s="218" t="s">
        <v>1238</v>
      </c>
      <c r="B26" s="608">
        <f>-'Weight Calculations'!H162</f>
        <v>-49872.832985578149</v>
      </c>
      <c r="C26" s="219">
        <v>0</v>
      </c>
      <c r="D26" s="613">
        <f>+'Design Conditions'!J25</f>
        <v>0.01</v>
      </c>
      <c r="E26" s="494">
        <v>0</v>
      </c>
      <c r="F26" s="490">
        <f>D26*0.1-E26*0.1-B26*9.8/(PI()*$B$13^2*1000000/4)-C26*0.1</f>
        <v>2.1364975875138095E-3</v>
      </c>
      <c r="G26" s="5"/>
      <c r="H26" s="265"/>
      <c r="I26" s="508" t="s">
        <v>1238</v>
      </c>
      <c r="J26" s="403">
        <f>B26*2.2</f>
        <v>-109720.23256827194</v>
      </c>
      <c r="K26" s="612"/>
      <c r="L26" s="430">
        <f t="shared" si="0"/>
        <v>0.14499999999999999</v>
      </c>
      <c r="M26" s="430">
        <f t="shared" si="0"/>
        <v>0</v>
      </c>
      <c r="N26" s="611">
        <f>F26*145.04</f>
        <v>0.30987761009300291</v>
      </c>
      <c r="O26" s="5"/>
      <c r="P26" s="265"/>
      <c r="Q26" s="5"/>
      <c r="R26" s="5"/>
      <c r="S26" s="5"/>
      <c r="T26" s="5"/>
      <c r="U26" s="5"/>
      <c r="V26" s="171" t="s">
        <v>1646</v>
      </c>
      <c r="W26" s="26"/>
      <c r="X26" s="198"/>
    </row>
    <row r="27" spans="1:24" ht="17.25" customHeight="1" x14ac:dyDescent="0.25">
      <c r="A27" s="218"/>
      <c r="B27" s="608"/>
      <c r="C27" s="219"/>
      <c r="D27" s="494"/>
      <c r="E27" s="399"/>
      <c r="F27" s="614"/>
      <c r="G27" s="5"/>
      <c r="H27" s="265"/>
      <c r="I27" s="218"/>
      <c r="J27" s="5"/>
      <c r="K27" s="5"/>
      <c r="L27" s="5"/>
      <c r="M27" s="5"/>
      <c r="N27" s="615"/>
      <c r="O27" s="5"/>
      <c r="P27" s="265"/>
      <c r="Q27" s="5"/>
      <c r="R27" s="5"/>
      <c r="S27" s="341" t="s">
        <v>1449</v>
      </c>
      <c r="T27" s="248">
        <f>+C25</f>
        <v>0</v>
      </c>
      <c r="U27" s="5"/>
      <c r="V27" s="266" t="s">
        <v>1647</v>
      </c>
      <c r="W27" s="5"/>
      <c r="X27" s="5"/>
    </row>
    <row r="28" spans="1:24" x14ac:dyDescent="0.2">
      <c r="A28" s="14"/>
      <c r="B28" s="218"/>
      <c r="C28" s="14"/>
      <c r="D28" s="14"/>
      <c r="E28" s="14"/>
      <c r="F28" s="5"/>
      <c r="G28" s="5"/>
      <c r="H28" s="265"/>
      <c r="I28" s="14"/>
      <c r="J28" s="616" t="s">
        <v>254</v>
      </c>
      <c r="K28" s="502" t="s">
        <v>1648</v>
      </c>
      <c r="L28" s="14"/>
      <c r="M28" s="14"/>
      <c r="N28" s="5"/>
      <c r="O28" s="5"/>
      <c r="P28" s="265"/>
      <c r="Q28" s="5"/>
      <c r="R28" s="5"/>
      <c r="S28" s="5"/>
      <c r="T28" s="341" t="s">
        <v>1240</v>
      </c>
      <c r="U28" s="503">
        <f>+E25</f>
        <v>0</v>
      </c>
      <c r="V28" s="5"/>
      <c r="W28" s="5"/>
      <c r="X28" s="5"/>
    </row>
    <row r="29" spans="1:24" x14ac:dyDescent="0.2">
      <c r="A29" s="14"/>
      <c r="B29" s="218" t="s">
        <v>920</v>
      </c>
      <c r="C29" s="14" t="s">
        <v>1649</v>
      </c>
      <c r="D29" s="14"/>
      <c r="E29" s="14"/>
      <c r="F29" s="5"/>
      <c r="G29" s="5"/>
      <c r="H29" s="265"/>
      <c r="I29" s="14"/>
      <c r="J29" s="617" t="s">
        <v>920</v>
      </c>
      <c r="K29" s="115" t="s">
        <v>1649</v>
      </c>
      <c r="L29" s="14"/>
      <c r="M29" s="14"/>
      <c r="N29" s="5"/>
      <c r="O29" s="5"/>
      <c r="P29" s="265"/>
      <c r="Q29" s="5"/>
      <c r="R29" s="341" t="s">
        <v>702</v>
      </c>
      <c r="S29" s="565">
        <f>+B25</f>
        <v>-49872.832985578149</v>
      </c>
      <c r="T29" s="5"/>
      <c r="U29" s="5"/>
      <c r="V29" s="5"/>
      <c r="W29" s="5"/>
      <c r="X29" s="5"/>
    </row>
    <row r="30" spans="1:24" x14ac:dyDescent="0.2">
      <c r="A30" s="14"/>
      <c r="B30" s="14" t="s">
        <v>247</v>
      </c>
      <c r="C30" s="14" t="s">
        <v>247</v>
      </c>
      <c r="D30" s="14" t="s">
        <v>946</v>
      </c>
      <c r="E30" s="14"/>
      <c r="F30" s="5"/>
      <c r="G30" s="5"/>
      <c r="H30" s="265"/>
      <c r="I30" s="14"/>
      <c r="J30" s="618" t="s">
        <v>248</v>
      </c>
      <c r="K30" s="151" t="s">
        <v>248</v>
      </c>
      <c r="L30" s="402" t="s">
        <v>946</v>
      </c>
      <c r="M30" s="14"/>
      <c r="N30" s="5"/>
      <c r="O30" s="5"/>
      <c r="P30" s="265"/>
      <c r="Q30" s="5"/>
      <c r="R30" s="5"/>
      <c r="S30" s="5"/>
      <c r="T30" s="5"/>
      <c r="U30" s="5"/>
      <c r="V30" s="143" t="s">
        <v>1241</v>
      </c>
      <c r="W30" s="41"/>
      <c r="X30" s="42"/>
    </row>
    <row r="31" spans="1:24" ht="27.75" customHeight="1" x14ac:dyDescent="0.2">
      <c r="A31" s="218" t="str">
        <f>A24</f>
        <v>External Pressure</v>
      </c>
      <c r="B31" s="450">
        <f>'Main Dimensions Calcs'!$D$35</f>
        <v>12</v>
      </c>
      <c r="C31" s="418">
        <f>IF(((B49&gt;0)*AND(C49&gt;0)),MAX(B49:C49)*0.001/$B$75,IF(B49=C49,-(B49*0.001)/$F$64,IF((B49&lt;0)*AND(B49&lt;0),-0.001*MAX(MAX(B49:C49)+MIN(B49:C49)*0.8,MAX(B49:C49)*1.8)/$F$71,"Atencion, combiancion no comtemplada")))</f>
        <v>9.6714221885597151</v>
      </c>
      <c r="D31" s="417">
        <f>B31/C31</f>
        <v>1.2407689134070425</v>
      </c>
      <c r="E31" s="264" t="str">
        <f>IF(B31&gt;0,IF(D31&gt;1,"OK","ERROR"),"N/A")</f>
        <v>OK</v>
      </c>
      <c r="F31" s="5"/>
      <c r="G31" s="5"/>
      <c r="H31" s="265"/>
      <c r="I31" s="508" t="str">
        <f>I24</f>
        <v>External Pressure</v>
      </c>
      <c r="J31" s="619">
        <f t="shared" ref="J31:K33" si="1">B31/25.4</f>
        <v>0.47244094488188981</v>
      </c>
      <c r="K31" s="437">
        <f t="shared" si="1"/>
        <v>0.38076465309290219</v>
      </c>
      <c r="L31" s="437">
        <f>J31/K31</f>
        <v>1.2407689134070428</v>
      </c>
      <c r="M31" s="510" t="str">
        <f>IF(J31&gt;0,IF(L31&gt;1,"OK","ERROR"),"N/A")</f>
        <v>OK</v>
      </c>
      <c r="N31" s="5"/>
      <c r="O31" s="5"/>
      <c r="P31" s="265"/>
      <c r="Q31" s="5"/>
      <c r="R31" s="5"/>
      <c r="S31" s="5"/>
      <c r="T31" s="5"/>
      <c r="U31" s="5"/>
      <c r="V31" s="150" t="s">
        <v>1257</v>
      </c>
      <c r="W31" s="5"/>
      <c r="X31" s="103"/>
    </row>
    <row r="32" spans="1:24" ht="25.5" customHeight="1" x14ac:dyDescent="0.2">
      <c r="A32" s="218" t="str">
        <f>A25</f>
        <v>Internal Pressure</v>
      </c>
      <c r="B32" s="450">
        <f>'Main Dimensions Calcs'!$D$35</f>
        <v>12</v>
      </c>
      <c r="C32" s="418">
        <f>IF(((B50&gt;0)*AND(C50&gt;0)),MAX(B50:C50)*0.001/$B$75,IF(B50=C50,-(B50*0.001)/$F$64,IF((B50&lt;0)*AND(B50&lt;0),-0.001*MAX(MAX(B50:C50)+MIN(B50:C50)*0.8,MAX(B50:C50)*1.8)/$F$71,"Atencion, combiancion no comtemplada")))</f>
        <v>0.51210541436433898</v>
      </c>
      <c r="D32" s="417">
        <f>B32/C32</f>
        <v>23.43267550665372</v>
      </c>
      <c r="E32" s="264" t="str">
        <f>IF(B32&gt;0,IF(D32&gt;1,"OK","ERROR"),"N/A")</f>
        <v>OK</v>
      </c>
      <c r="F32" s="5"/>
      <c r="G32" s="5"/>
      <c r="H32" s="265"/>
      <c r="I32" s="508" t="str">
        <f>I25</f>
        <v>Internal Pressure</v>
      </c>
      <c r="J32" s="619">
        <f t="shared" si="1"/>
        <v>0.47244094488188981</v>
      </c>
      <c r="K32" s="437">
        <f t="shared" si="1"/>
        <v>2.0161630486785001E-2</v>
      </c>
      <c r="L32" s="437">
        <f>J32/K32</f>
        <v>23.43267550665372</v>
      </c>
      <c r="M32" s="510" t="str">
        <f>IF(J32&gt;0,IF(L32&gt;1,"OK","ERROR"),"N/A")</f>
        <v>OK</v>
      </c>
      <c r="N32" s="5"/>
      <c r="O32" s="5"/>
      <c r="P32" s="265"/>
      <c r="Q32" s="5"/>
      <c r="R32" s="5"/>
      <c r="S32" s="341" t="s">
        <v>1248</v>
      </c>
      <c r="T32" s="503">
        <f>+D25</f>
        <v>8.0000000000000002E-3</v>
      </c>
      <c r="U32" s="5"/>
      <c r="V32" s="64" t="s">
        <v>1644</v>
      </c>
      <c r="W32" s="5"/>
      <c r="X32" s="5"/>
    </row>
    <row r="33" spans="1:24" x14ac:dyDescent="0.2">
      <c r="A33" s="218" t="str">
        <f>A26</f>
        <v>Test</v>
      </c>
      <c r="B33" s="450">
        <f>'Main Dimensions Calcs'!$D$35</f>
        <v>12</v>
      </c>
      <c r="C33" s="418">
        <f>IF(((B51&gt;0)*AND(C51&gt;0)),MAX(B51:C51)*0.001/$B$75,IF(B51=C51,-(B51*0.001)/$F$64,IF((B51&lt;0)*AND(B51&lt;0),-0.001*MAX(MAX(B51:C51)+MIN(B51:C51)*0.8,MAX(B51:C51)*1.8)/$F$71,"Atencion, combiancion no comtemplada")))</f>
        <v>0.56499527259770876</v>
      </c>
      <c r="D33" s="417">
        <f>B33/MAX(C33,I51)</f>
        <v>21.239115762556672</v>
      </c>
      <c r="E33" s="264" t="str">
        <f>IF(B33&gt;0,IF(D33&gt;1,"OK","ERROR"),"N/A")</f>
        <v>OK</v>
      </c>
      <c r="F33" s="5"/>
      <c r="G33" s="5"/>
      <c r="H33" s="265"/>
      <c r="I33" s="508" t="str">
        <f>I26</f>
        <v>Test</v>
      </c>
      <c r="J33" s="619">
        <f t="shared" si="1"/>
        <v>0.47244094488188981</v>
      </c>
      <c r="K33" s="437">
        <f t="shared" si="1"/>
        <v>2.2243908369988536E-2</v>
      </c>
      <c r="L33" s="437">
        <f>J33/MAX(K33,Q51)</f>
        <v>21.239115762556672</v>
      </c>
      <c r="M33" s="510" t="str">
        <f>IF(J33&gt;0,IF(L33&gt;1,"OK","ERROR"),"N/A")</f>
        <v>OK</v>
      </c>
      <c r="N33" s="5"/>
      <c r="O33" s="5"/>
      <c r="P33" s="265"/>
      <c r="Q33" s="5"/>
      <c r="R33" s="5"/>
      <c r="S33" s="5"/>
      <c r="T33" s="5"/>
      <c r="U33" s="5"/>
      <c r="V33" s="150" t="s">
        <v>1650</v>
      </c>
      <c r="W33" s="5"/>
      <c r="X33" s="103"/>
    </row>
    <row r="34" spans="1:24" x14ac:dyDescent="0.2">
      <c r="A34" s="218"/>
      <c r="B34" s="399"/>
      <c r="C34" s="418"/>
      <c r="D34" s="417"/>
      <c r="E34" s="264"/>
      <c r="F34" s="5"/>
      <c r="G34" s="5"/>
      <c r="H34" s="265"/>
      <c r="I34" s="508"/>
      <c r="J34" s="404"/>
      <c r="K34" s="419"/>
      <c r="L34" s="437"/>
      <c r="M34" s="510"/>
      <c r="N34" s="5"/>
      <c r="O34" s="5"/>
      <c r="P34" s="265"/>
      <c r="Q34" s="5"/>
      <c r="R34" s="5"/>
      <c r="S34" s="5"/>
      <c r="T34" s="5"/>
      <c r="U34" s="5"/>
      <c r="V34" s="171" t="s">
        <v>1646</v>
      </c>
      <c r="W34" s="26"/>
      <c r="X34" s="198"/>
    </row>
    <row r="35" spans="1:24" x14ac:dyDescent="0.2">
      <c r="A35" s="5"/>
      <c r="B35" s="5"/>
      <c r="C35" s="5"/>
      <c r="D35" s="5"/>
      <c r="E35" s="5"/>
      <c r="F35" s="5"/>
      <c r="G35" s="5"/>
      <c r="H35" s="265"/>
      <c r="I35" s="5"/>
      <c r="J35" s="5"/>
      <c r="K35" s="5"/>
      <c r="L35" s="5"/>
      <c r="M35" s="5"/>
      <c r="N35" s="5"/>
      <c r="O35" s="5"/>
      <c r="P35" s="265"/>
      <c r="Q35" s="5"/>
      <c r="R35" s="5"/>
      <c r="S35" s="341" t="s">
        <v>1449</v>
      </c>
      <c r="T35" s="248">
        <f>+C26</f>
        <v>0</v>
      </c>
      <c r="U35" s="5"/>
      <c r="V35" s="5"/>
      <c r="W35" s="5"/>
      <c r="X35" s="5"/>
    </row>
    <row r="36" spans="1:24" ht="13.5" customHeight="1" thickBot="1" x14ac:dyDescent="0.25">
      <c r="A36" s="5"/>
      <c r="B36" s="5"/>
      <c r="C36" s="5"/>
      <c r="D36" s="5"/>
      <c r="E36" s="5"/>
      <c r="F36" s="5"/>
      <c r="G36" s="5"/>
      <c r="H36" s="265"/>
      <c r="I36" s="5"/>
      <c r="J36" s="5"/>
      <c r="K36" s="5"/>
      <c r="L36" s="5"/>
      <c r="M36" s="5"/>
      <c r="N36" s="5"/>
      <c r="O36" s="5"/>
      <c r="P36" s="265"/>
      <c r="Q36" s="5"/>
      <c r="R36" s="341" t="s">
        <v>702</v>
      </c>
      <c r="S36" s="565">
        <f>+B26</f>
        <v>-49872.832985578149</v>
      </c>
      <c r="T36" s="341" t="s">
        <v>1240</v>
      </c>
      <c r="U36" s="503">
        <f>+E26</f>
        <v>0</v>
      </c>
      <c r="V36" s="5"/>
      <c r="W36" s="5"/>
      <c r="X36" s="5"/>
    </row>
    <row r="37" spans="1:24" ht="17.25" customHeight="1" thickTop="1" thickBot="1" x14ac:dyDescent="0.3">
      <c r="A37" s="988"/>
      <c r="B37" s="823"/>
      <c r="C37" s="871"/>
      <c r="D37" s="934" t="str">
        <f>'Front Page'!$A$13</f>
        <v>Mechanical  Calculations</v>
      </c>
      <c r="E37" s="842"/>
      <c r="F37" s="842"/>
      <c r="G37" s="842"/>
      <c r="H37" s="859"/>
      <c r="I37" s="988"/>
      <c r="J37" s="823"/>
      <c r="K37" s="871"/>
      <c r="L37" s="934" t="str">
        <f>'Front Page'!$A$13</f>
        <v>Mechanical  Calculations</v>
      </c>
      <c r="M37" s="842"/>
      <c r="N37" s="842"/>
      <c r="O37" s="842"/>
      <c r="P37" s="859"/>
      <c r="Q37" s="5"/>
      <c r="R37" s="5"/>
      <c r="S37" s="5"/>
      <c r="T37" s="5"/>
      <c r="U37" s="5"/>
      <c r="V37" s="143" t="s">
        <v>1651</v>
      </c>
      <c r="W37" s="41"/>
      <c r="X37" s="42"/>
    </row>
    <row r="38" spans="1:24" ht="16.5" customHeight="1" thickBot="1" x14ac:dyDescent="0.3">
      <c r="A38" s="825"/>
      <c r="B38" s="809"/>
      <c r="C38" s="989"/>
      <c r="D38" s="984">
        <f>'Front Page'!$A$21</f>
        <v>0</v>
      </c>
      <c r="E38" s="831"/>
      <c r="F38" s="831"/>
      <c r="G38" s="831"/>
      <c r="H38" s="854"/>
      <c r="I38" s="825"/>
      <c r="J38" s="809"/>
      <c r="K38" s="989"/>
      <c r="L38" s="984">
        <f>'Front Page'!$A$21</f>
        <v>0</v>
      </c>
      <c r="M38" s="831"/>
      <c r="N38" s="831"/>
      <c r="O38" s="831"/>
      <c r="P38" s="854"/>
      <c r="Q38" s="5"/>
      <c r="R38" s="5"/>
      <c r="S38" s="5"/>
      <c r="T38" s="5"/>
      <c r="U38" s="5"/>
      <c r="V38" s="150" t="s">
        <v>1257</v>
      </c>
      <c r="W38" s="5"/>
      <c r="X38" s="103"/>
    </row>
    <row r="39" spans="1:24" ht="16.5" customHeight="1" thickBot="1" x14ac:dyDescent="0.3">
      <c r="A39" s="827"/>
      <c r="B39" s="828"/>
      <c r="C39" s="857"/>
      <c r="D39" s="985" t="s">
        <v>1628</v>
      </c>
      <c r="E39" s="834"/>
      <c r="F39" s="834"/>
      <c r="G39" s="834"/>
      <c r="H39" s="986"/>
      <c r="I39" s="827"/>
      <c r="J39" s="828"/>
      <c r="K39" s="857"/>
      <c r="L39" s="985" t="s">
        <v>1628</v>
      </c>
      <c r="M39" s="834"/>
      <c r="N39" s="834"/>
      <c r="O39" s="834"/>
      <c r="P39" s="986"/>
      <c r="Q39" s="5"/>
      <c r="R39" s="5"/>
      <c r="S39" s="5"/>
      <c r="T39" s="5"/>
      <c r="U39" s="5"/>
      <c r="V39" s="64" t="s">
        <v>1644</v>
      </c>
      <c r="W39" s="5"/>
      <c r="X39" s="5"/>
    </row>
    <row r="40" spans="1:24" ht="16.5" customHeight="1" thickTop="1" thickBot="1" x14ac:dyDescent="0.3">
      <c r="A40" s="873"/>
      <c r="B40" s="848"/>
      <c r="C40" s="865"/>
      <c r="D40" s="385" t="str">
        <f>'Front Page'!$D$4</f>
        <v>Doc Nº</v>
      </c>
      <c r="E40" s="980"/>
      <c r="F40" s="843"/>
      <c r="G40" s="980"/>
      <c r="H40" s="843"/>
      <c r="I40" s="873"/>
      <c r="J40" s="848"/>
      <c r="K40" s="865"/>
      <c r="L40" s="385" t="str">
        <f>'Front Page'!$D$4</f>
        <v>Doc Nº</v>
      </c>
      <c r="M40" s="980"/>
      <c r="N40" s="843"/>
      <c r="O40" s="980"/>
      <c r="P40" s="843"/>
      <c r="Q40" s="5"/>
      <c r="R40" s="5"/>
      <c r="S40" s="5"/>
      <c r="T40" s="5"/>
      <c r="U40" s="5"/>
      <c r="V40" s="150" t="s">
        <v>1652</v>
      </c>
      <c r="W40" s="5"/>
      <c r="X40" s="103"/>
    </row>
    <row r="41" spans="1:24" ht="15.75" customHeight="1" thickBot="1" x14ac:dyDescent="0.3">
      <c r="A41" s="860"/>
      <c r="B41" s="851"/>
      <c r="C41" s="861"/>
      <c r="D41" s="386" t="str">
        <f>'Front Page'!$D$5</f>
        <v>Project</v>
      </c>
      <c r="E41" s="899"/>
      <c r="F41" s="835"/>
      <c r="G41" s="131" t="s">
        <v>5</v>
      </c>
      <c r="H41" s="132"/>
      <c r="I41" s="860"/>
      <c r="J41" s="851"/>
      <c r="K41" s="861"/>
      <c r="L41" s="386" t="str">
        <f>'Front Page'!$D$5</f>
        <v>Project</v>
      </c>
      <c r="M41" s="899"/>
      <c r="N41" s="835"/>
      <c r="O41" s="131" t="s">
        <v>5</v>
      </c>
      <c r="P41" s="427"/>
      <c r="Q41" s="5"/>
      <c r="R41" s="5"/>
      <c r="S41" s="5"/>
      <c r="T41" s="5"/>
      <c r="U41" s="5"/>
      <c r="V41" s="171" t="s">
        <v>1646</v>
      </c>
      <c r="W41" s="26"/>
      <c r="X41" s="198"/>
    </row>
    <row r="42" spans="1:24" ht="13.5" customHeight="1" thickTop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5"/>
      <c r="R42" s="341" t="s">
        <v>1248</v>
      </c>
      <c r="S42" s="503">
        <f>+D26</f>
        <v>0.01</v>
      </c>
      <c r="T42" s="5"/>
      <c r="U42" s="5"/>
      <c r="V42" s="5"/>
      <c r="W42" s="5"/>
      <c r="X42" s="5"/>
    </row>
    <row r="43" spans="1:2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8" customHeight="1" x14ac:dyDescent="0.25">
      <c r="A44" s="303"/>
      <c r="B44" s="303"/>
      <c r="C44" s="303"/>
      <c r="D44" s="303"/>
      <c r="E44" s="303"/>
      <c r="F44" s="303"/>
      <c r="G44" s="5"/>
      <c r="H44" s="5"/>
      <c r="I44" s="303"/>
      <c r="J44" s="303"/>
      <c r="K44" s="303"/>
      <c r="L44" s="303"/>
      <c r="M44" s="303"/>
      <c r="N44" s="303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39.75" customHeight="1" x14ac:dyDescent="0.25">
      <c r="A45" s="976" t="s">
        <v>1653</v>
      </c>
      <c r="B45" s="809"/>
      <c r="C45" s="809"/>
      <c r="D45" s="809"/>
      <c r="E45" s="809"/>
      <c r="F45" s="809"/>
      <c r="G45" s="809"/>
      <c r="H45" s="303"/>
      <c r="I45" s="976" t="s">
        <v>1654</v>
      </c>
      <c r="J45" s="809"/>
      <c r="K45" s="809"/>
      <c r="L45" s="809"/>
      <c r="M45" s="809"/>
      <c r="N45" s="809"/>
      <c r="O45" s="809"/>
      <c r="P45" s="303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">
      <c r="A47" s="14"/>
      <c r="B47" s="14" t="s">
        <v>932</v>
      </c>
      <c r="C47" s="14" t="s">
        <v>933</v>
      </c>
      <c r="D47" s="14" t="s">
        <v>1655</v>
      </c>
      <c r="E47" s="14" t="s">
        <v>1656</v>
      </c>
      <c r="F47" s="5"/>
      <c r="G47" s="5"/>
      <c r="H47" s="5"/>
      <c r="I47" s="14"/>
      <c r="J47" s="140" t="s">
        <v>1002</v>
      </c>
      <c r="K47" s="140" t="s">
        <v>1003</v>
      </c>
      <c r="L47" s="140" t="s">
        <v>1657</v>
      </c>
      <c r="M47" s="140" t="s">
        <v>1658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21" customHeight="1" x14ac:dyDescent="0.2">
      <c r="A48" s="5"/>
      <c r="B48" s="14" t="s">
        <v>940</v>
      </c>
      <c r="C48" s="14" t="s">
        <v>940</v>
      </c>
      <c r="D48" s="14" t="s">
        <v>941</v>
      </c>
      <c r="E48" s="14" t="s">
        <v>941</v>
      </c>
      <c r="F48" s="5"/>
      <c r="G48" s="5"/>
      <c r="H48" s="5"/>
      <c r="I48" s="5"/>
      <c r="J48" s="140" t="s">
        <v>1261</v>
      </c>
      <c r="K48" s="140" t="s">
        <v>1261</v>
      </c>
      <c r="L48" s="140" t="s">
        <v>926</v>
      </c>
      <c r="M48" s="140" t="s">
        <v>926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30" customHeight="1" x14ac:dyDescent="0.2">
      <c r="A49" s="218" t="str">
        <f>+A24</f>
        <v>External Pressure</v>
      </c>
      <c r="B49" s="263">
        <f>$B$12/2*(F24*1000000)</f>
        <v>-41278.028722306422</v>
      </c>
      <c r="C49" s="263">
        <f>F24*$B$12*1000000-B49</f>
        <v>-41278.028722306408</v>
      </c>
      <c r="D49" s="418">
        <f>B49*0.001/($B$31)</f>
        <v>-3.4398357268588686</v>
      </c>
      <c r="E49" s="418">
        <f>C49/$B$31/1000</f>
        <v>-3.4398357268588673</v>
      </c>
      <c r="F49" s="5"/>
      <c r="G49" s="5"/>
      <c r="H49" s="5"/>
      <c r="I49" s="491" t="s">
        <v>1659</v>
      </c>
      <c r="J49" s="620">
        <f t="shared" ref="J49:K51" si="2">B49*0.00571</f>
        <v>-235.69754400436966</v>
      </c>
      <c r="K49" s="620">
        <f t="shared" si="2"/>
        <v>-235.69754400436958</v>
      </c>
      <c r="L49" s="419">
        <f t="shared" ref="L49:M51" si="3">D49*145.04</f>
        <v>-498.91377382361026</v>
      </c>
      <c r="M49" s="419">
        <f t="shared" si="3"/>
        <v>-498.91377382361009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25.5" customHeight="1" x14ac:dyDescent="0.2">
      <c r="A50" s="218" t="str">
        <f>+A25</f>
        <v>Internal Pressure</v>
      </c>
      <c r="B50" s="263">
        <f>$B$12/2*(F25*1000000)</f>
        <v>18784.026598883953</v>
      </c>
      <c r="C50" s="263">
        <f>F25*$B$12*1000000-B50</f>
        <v>18784.026598883953</v>
      </c>
      <c r="D50" s="418">
        <f>B50*0.001/($B$31)</f>
        <v>1.5653355499069963</v>
      </c>
      <c r="E50" s="418">
        <f>C50/$B$31/1000</f>
        <v>1.5653355499069961</v>
      </c>
      <c r="F50" s="5"/>
      <c r="G50" s="5"/>
      <c r="H50" s="5"/>
      <c r="I50" s="491" t="s">
        <v>1660</v>
      </c>
      <c r="J50" s="620">
        <f t="shared" si="2"/>
        <v>107.25679187962737</v>
      </c>
      <c r="K50" s="620">
        <f t="shared" si="2"/>
        <v>107.25679187962737</v>
      </c>
      <c r="L50" s="419">
        <f t="shared" si="3"/>
        <v>227.03626815851072</v>
      </c>
      <c r="M50" s="419">
        <f t="shared" si="3"/>
        <v>227.03626815851069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2">
      <c r="A51" s="14" t="str">
        <f>+A26</f>
        <v>Test</v>
      </c>
      <c r="B51" s="263">
        <f>$B$12/2*(F26*1000000)</f>
        <v>20724.026598883949</v>
      </c>
      <c r="C51" s="263">
        <f>F26*$B$12*1000000-B51</f>
        <v>20724.026598883956</v>
      </c>
      <c r="D51" s="418">
        <f>B51*0.001/($B$31)</f>
        <v>1.7270022165736625</v>
      </c>
      <c r="E51" s="418">
        <f>C51/$B$31/1000</f>
        <v>1.7270022165736629</v>
      </c>
      <c r="F51" s="5"/>
      <c r="G51" s="5"/>
      <c r="H51" s="5"/>
      <c r="I51" s="621" t="s">
        <v>1238</v>
      </c>
      <c r="J51" s="620">
        <f t="shared" si="2"/>
        <v>118.33419187962734</v>
      </c>
      <c r="K51" s="620">
        <f t="shared" si="2"/>
        <v>118.33419187962738</v>
      </c>
      <c r="L51" s="622">
        <f t="shared" si="3"/>
        <v>250.48440149184398</v>
      </c>
      <c r="M51" s="622">
        <f t="shared" si="3"/>
        <v>250.48440149184407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">
      <c r="A52" s="14"/>
      <c r="B52" s="263"/>
      <c r="C52" s="263"/>
      <c r="D52" s="418"/>
      <c r="E52" s="418"/>
      <c r="F52" s="5"/>
      <c r="G52" s="5"/>
      <c r="H52" s="5"/>
      <c r="I52" s="623"/>
      <c r="J52" s="624"/>
      <c r="K52" s="624"/>
      <c r="L52" s="625"/>
      <c r="M52" s="62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">
      <c r="A53" s="14"/>
      <c r="B53" s="14"/>
      <c r="C53" s="260"/>
      <c r="D53" s="401"/>
      <c r="E53" s="5"/>
      <c r="F53" s="5"/>
      <c r="G53" s="5"/>
      <c r="H53" s="5"/>
      <c r="I53" s="14"/>
      <c r="J53" s="14"/>
      <c r="K53" s="260"/>
      <c r="L53" s="401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">
      <c r="A54" s="14"/>
      <c r="B54" s="14"/>
      <c r="C54" s="260"/>
      <c r="D54" s="401"/>
      <c r="E54" s="5"/>
      <c r="F54" s="5"/>
      <c r="G54" s="5"/>
      <c r="H54" s="5"/>
      <c r="I54" s="14"/>
      <c r="J54" s="14"/>
      <c r="K54" s="260"/>
      <c r="L54" s="401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">
      <c r="A56" s="1000" t="s">
        <v>1282</v>
      </c>
      <c r="B56" s="809"/>
      <c r="C56" s="809"/>
      <c r="D56" s="809"/>
      <c r="E56" s="809"/>
      <c r="F56" s="809"/>
      <c r="G56" s="809"/>
      <c r="H56" s="809"/>
      <c r="I56" s="1000" t="s">
        <v>1282</v>
      </c>
      <c r="J56" s="809"/>
      <c r="K56" s="809"/>
      <c r="L56" s="809"/>
      <c r="M56" s="809"/>
      <c r="N56" s="809"/>
      <c r="O56" s="809"/>
      <c r="P56" s="809"/>
      <c r="Q56" s="5"/>
      <c r="R56" s="5"/>
      <c r="S56" s="5"/>
      <c r="T56" s="5"/>
      <c r="U56" s="5"/>
      <c r="V56" s="5"/>
      <c r="W56" s="5"/>
      <c r="X56" s="5"/>
    </row>
    <row r="57" spans="1:24" x14ac:dyDescent="0.2">
      <c r="A57" s="809"/>
      <c r="B57" s="809"/>
      <c r="C57" s="809"/>
      <c r="D57" s="809"/>
      <c r="E57" s="809"/>
      <c r="F57" s="809"/>
      <c r="G57" s="809"/>
      <c r="H57" s="809"/>
      <c r="I57" s="809"/>
      <c r="J57" s="809"/>
      <c r="K57" s="809"/>
      <c r="L57" s="809"/>
      <c r="M57" s="809"/>
      <c r="N57" s="809"/>
      <c r="O57" s="809"/>
      <c r="P57" s="809"/>
      <c r="Q57" s="5"/>
      <c r="R57" s="5"/>
      <c r="S57" s="5"/>
      <c r="T57" s="5"/>
      <c r="U57" s="5"/>
      <c r="V57" s="5"/>
      <c r="W57" s="5"/>
      <c r="X57" s="5"/>
    </row>
    <row r="58" spans="1:24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x14ac:dyDescent="0.2">
      <c r="A59" s="998" t="s">
        <v>1283</v>
      </c>
      <c r="B59" s="809"/>
      <c r="C59" s="809"/>
      <c r="D59" s="809"/>
      <c r="E59" s="809"/>
      <c r="F59" s="809"/>
      <c r="G59" s="809"/>
      <c r="H59" s="5"/>
      <c r="I59" s="998" t="s">
        <v>1283</v>
      </c>
      <c r="J59" s="809"/>
      <c r="K59" s="809"/>
      <c r="L59" s="809"/>
      <c r="M59" s="809"/>
      <c r="N59" s="809"/>
      <c r="O59" s="809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">
      <c r="A60" s="809"/>
      <c r="B60" s="809"/>
      <c r="C60" s="809"/>
      <c r="D60" s="809"/>
      <c r="E60" s="809"/>
      <c r="F60" s="809"/>
      <c r="G60" s="809"/>
      <c r="H60" s="5"/>
      <c r="I60" s="809"/>
      <c r="J60" s="809"/>
      <c r="K60" s="809"/>
      <c r="L60" s="809"/>
      <c r="M60" s="809"/>
      <c r="N60" s="809"/>
      <c r="O60" s="809"/>
      <c r="P60" s="5"/>
      <c r="Q60" s="5"/>
      <c r="R60" s="5"/>
      <c r="S60" s="5"/>
      <c r="T60" s="5"/>
      <c r="U60" s="5"/>
      <c r="V60" s="5"/>
      <c r="W60" s="5"/>
      <c r="X60" s="5"/>
    </row>
    <row r="61" spans="1:24" ht="15" customHeight="1" x14ac:dyDescent="0.2">
      <c r="A61" s="540"/>
      <c r="B61" s="540"/>
      <c r="C61" s="540"/>
      <c r="D61" s="540"/>
      <c r="E61" s="540"/>
      <c r="F61" s="540"/>
      <c r="G61" s="540"/>
      <c r="H61" s="5"/>
      <c r="I61" s="540"/>
      <c r="J61" s="540"/>
      <c r="K61" s="540"/>
      <c r="L61" s="540"/>
      <c r="M61" s="540"/>
      <c r="N61" s="540"/>
      <c r="O61" s="540"/>
      <c r="P61" s="5"/>
      <c r="Q61" s="5"/>
      <c r="R61" s="5"/>
      <c r="S61" s="5"/>
      <c r="T61" s="5"/>
      <c r="U61" s="5"/>
      <c r="V61" s="5"/>
      <c r="W61" s="5"/>
      <c r="X61" s="5"/>
    </row>
    <row r="62" spans="1:24" x14ac:dyDescent="0.2">
      <c r="A62" s="5"/>
      <c r="B62" s="5"/>
      <c r="C62" s="1002" t="s">
        <v>1284</v>
      </c>
      <c r="D62" s="809"/>
      <c r="E62" s="809"/>
      <c r="F62" s="5"/>
      <c r="G62" s="5"/>
      <c r="H62" s="5"/>
      <c r="I62" s="5"/>
      <c r="J62" s="1028" t="s">
        <v>1284</v>
      </c>
      <c r="K62" s="812"/>
      <c r="L62" s="812"/>
      <c r="M62" s="812"/>
      <c r="N62" s="812"/>
      <c r="O62" s="813"/>
      <c r="P62" s="5"/>
      <c r="Q62" s="5"/>
      <c r="R62" s="5"/>
      <c r="S62" s="5"/>
      <c r="T62" s="5"/>
      <c r="U62" s="5"/>
      <c r="V62" s="5"/>
      <c r="W62" s="5"/>
      <c r="X62" s="5"/>
    </row>
    <row r="63" spans="1:24" ht="51" customHeight="1" x14ac:dyDescent="0.2">
      <c r="A63" s="5"/>
      <c r="B63" s="212" t="s">
        <v>991</v>
      </c>
      <c r="C63" s="218" t="s">
        <v>1285</v>
      </c>
      <c r="D63" s="218" t="s">
        <v>1286</v>
      </c>
      <c r="E63" s="218" t="s">
        <v>1287</v>
      </c>
      <c r="F63" s="5"/>
      <c r="G63" s="5"/>
      <c r="H63" s="212"/>
      <c r="I63" s="5"/>
      <c r="J63" s="512" t="s">
        <v>991</v>
      </c>
      <c r="K63" s="512" t="s">
        <v>1285</v>
      </c>
      <c r="L63" s="512" t="s">
        <v>1286</v>
      </c>
      <c r="M63" s="512" t="s">
        <v>1287</v>
      </c>
      <c r="N63" s="196" t="s">
        <v>1288</v>
      </c>
      <c r="O63" s="542"/>
      <c r="P63" s="212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">
      <c r="A64" s="5"/>
      <c r="B64" s="5">
        <f>B31*0.001/$B$12</f>
        <v>6.1855670103092789E-4</v>
      </c>
      <c r="C64" s="5">
        <f>IF(B64&lt;0.00667,1000000*B64*0.0069,"N/A")</f>
        <v>4.2680412371134029</v>
      </c>
      <c r="D64" s="5" t="str">
        <f>IF((AND((B64&gt;0.00667),(B64&lt;0.0175))),(5650+154200*B64)*0.0069,"N/A")</f>
        <v>N/A</v>
      </c>
      <c r="E64" s="5" t="str">
        <f>IF(B64&gt;0.0175,8340*0.0069,"N/A")</f>
        <v>N/A</v>
      </c>
      <c r="F64" s="265">
        <f>IF(B64&lt;0.0067,C64,IF(B64&gt;0.0175,E64,D64))</f>
        <v>4.2680412371134029</v>
      </c>
      <c r="G64" s="5" t="s">
        <v>941</v>
      </c>
      <c r="H64" s="5"/>
      <c r="I64" s="5"/>
      <c r="J64" s="542">
        <f>B64</f>
        <v>6.1855670103092789E-4</v>
      </c>
      <c r="K64" s="542">
        <f>C64*145.04</f>
        <v>619.03670103092793</v>
      </c>
      <c r="L64" s="542" t="str">
        <f>D64</f>
        <v>N/A</v>
      </c>
      <c r="M64" s="542" t="str">
        <f>E64</f>
        <v>N/A</v>
      </c>
      <c r="N64" s="542">
        <f>F64*145.04</f>
        <v>619.03670103092793</v>
      </c>
      <c r="O64" s="196" t="s">
        <v>926</v>
      </c>
      <c r="P64" s="5"/>
      <c r="Q64" s="5"/>
      <c r="R64" s="5"/>
      <c r="S64" s="5"/>
      <c r="T64" s="5"/>
      <c r="U64" s="5"/>
      <c r="V64" s="5"/>
      <c r="W64" s="5"/>
      <c r="X64" s="5"/>
    </row>
    <row r="65" spans="1:24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x14ac:dyDescent="0.2">
      <c r="A66" s="998" t="s">
        <v>1289</v>
      </c>
      <c r="B66" s="809"/>
      <c r="C66" s="809"/>
      <c r="D66" s="809"/>
      <c r="E66" s="809"/>
      <c r="F66" s="809"/>
      <c r="G66" s="809"/>
      <c r="H66" s="5"/>
      <c r="I66" s="998" t="s">
        <v>1289</v>
      </c>
      <c r="J66" s="809"/>
      <c r="K66" s="809"/>
      <c r="L66" s="809"/>
      <c r="M66" s="809"/>
      <c r="N66" s="809"/>
      <c r="O66" s="809"/>
      <c r="P66" s="5"/>
      <c r="Q66" s="5"/>
      <c r="R66" s="5"/>
      <c r="S66" s="5"/>
      <c r="T66" s="5"/>
      <c r="U66" s="5"/>
      <c r="V66" s="5"/>
      <c r="W66" s="5"/>
      <c r="X66" s="5"/>
    </row>
    <row r="67" spans="1:24" ht="12.75" customHeight="1" x14ac:dyDescent="0.2">
      <c r="A67" s="809"/>
      <c r="B67" s="809"/>
      <c r="C67" s="809"/>
      <c r="D67" s="809"/>
      <c r="E67" s="809"/>
      <c r="F67" s="809"/>
      <c r="G67" s="809"/>
      <c r="H67" s="5"/>
      <c r="I67" s="809"/>
      <c r="J67" s="809"/>
      <c r="K67" s="809"/>
      <c r="L67" s="809"/>
      <c r="M67" s="809"/>
      <c r="N67" s="809"/>
      <c r="O67" s="809"/>
      <c r="P67" s="5"/>
      <c r="Q67" s="5"/>
      <c r="R67" s="5"/>
      <c r="S67" s="5"/>
      <c r="T67" s="5"/>
      <c r="U67" s="5"/>
      <c r="V67" s="5"/>
      <c r="W67" s="5"/>
      <c r="X67" s="5"/>
    </row>
    <row r="68" spans="1:24" x14ac:dyDescent="0.2">
      <c r="A68" s="540"/>
      <c r="B68" s="540"/>
      <c r="C68" s="540"/>
      <c r="D68" s="540"/>
      <c r="E68" s="540"/>
      <c r="F68" s="540"/>
      <c r="G68" s="540"/>
      <c r="H68" s="5"/>
      <c r="I68" s="540"/>
      <c r="J68" s="540"/>
      <c r="K68" s="540"/>
      <c r="L68" s="540"/>
      <c r="M68" s="540"/>
      <c r="N68" s="540"/>
      <c r="O68" s="540"/>
      <c r="P68" s="5"/>
      <c r="Q68" s="5"/>
      <c r="R68" s="5"/>
      <c r="S68" s="5"/>
      <c r="T68" s="5"/>
      <c r="U68" s="5"/>
      <c r="V68" s="5"/>
      <c r="W68" s="5"/>
      <c r="X68" s="5"/>
    </row>
    <row r="69" spans="1:24" x14ac:dyDescent="0.2">
      <c r="A69" s="5"/>
      <c r="B69" s="5"/>
      <c r="C69" s="1002" t="s">
        <v>1284</v>
      </c>
      <c r="D69" s="809"/>
      <c r="E69" s="809"/>
      <c r="F69" s="5"/>
      <c r="G69" s="5"/>
      <c r="H69" s="5"/>
      <c r="I69" s="5"/>
      <c r="J69" s="1028" t="s">
        <v>1284</v>
      </c>
      <c r="K69" s="812"/>
      <c r="L69" s="812"/>
      <c r="M69" s="812"/>
      <c r="N69" s="812"/>
      <c r="O69" s="813"/>
      <c r="P69" s="5"/>
      <c r="Q69" s="5"/>
      <c r="R69" s="5"/>
      <c r="S69" s="5"/>
      <c r="T69" s="5"/>
      <c r="U69" s="5"/>
      <c r="V69" s="5"/>
      <c r="W69" s="5"/>
      <c r="X69" s="5"/>
    </row>
    <row r="70" spans="1:24" ht="38.25" customHeight="1" x14ac:dyDescent="0.2">
      <c r="A70" s="5"/>
      <c r="B70" s="212" t="s">
        <v>991</v>
      </c>
      <c r="C70" s="212" t="s">
        <v>1290</v>
      </c>
      <c r="D70" s="212" t="s">
        <v>1291</v>
      </c>
      <c r="E70" s="212" t="s">
        <v>1292</v>
      </c>
      <c r="F70" s="5"/>
      <c r="G70" s="5"/>
      <c r="H70" s="5"/>
      <c r="I70" s="5"/>
      <c r="J70" s="627" t="s">
        <v>991</v>
      </c>
      <c r="K70" s="627" t="s">
        <v>1290</v>
      </c>
      <c r="L70" s="627" t="s">
        <v>1291</v>
      </c>
      <c r="M70" s="627" t="s">
        <v>1292</v>
      </c>
      <c r="N70" s="196" t="s">
        <v>1288</v>
      </c>
      <c r="O70" s="289"/>
      <c r="P70" s="5"/>
      <c r="Q70" s="5"/>
      <c r="R70" s="5"/>
      <c r="S70" s="5"/>
      <c r="T70" s="5"/>
      <c r="U70" s="5"/>
      <c r="V70" s="5"/>
      <c r="W70" s="5"/>
      <c r="X70" s="5"/>
    </row>
    <row r="71" spans="1:24" ht="18.75" customHeight="1" x14ac:dyDescent="0.2">
      <c r="A71" s="5"/>
      <c r="B71" s="5">
        <f>B33*0.001/$B$12</f>
        <v>6.1855670103092789E-4</v>
      </c>
      <c r="C71" s="5">
        <f>IF(B65&lt;0.00667,1800000*B71*0.0069,"N/A")</f>
        <v>7.682474226804124</v>
      </c>
      <c r="D71" s="5" t="str">
        <f>IF((AND((B65&gt;0.00667),(B65&lt;0.0175))),(10150+277400*B71)*0.0069,"N/A")</f>
        <v>N/A</v>
      </c>
      <c r="E71" s="5" t="str">
        <f>IF(B65&gt;0.0175,15000*0.0069,"N/A")</f>
        <v>N/A</v>
      </c>
      <c r="F71" s="265">
        <f>IF(B71&lt;0.0067,C71,IF(B71&gt;0.0175,E71,D71))</f>
        <v>7.682474226804124</v>
      </c>
      <c r="G71" s="5" t="s">
        <v>941</v>
      </c>
      <c r="H71" s="5"/>
      <c r="I71" s="5"/>
      <c r="J71" s="542">
        <f>B71</f>
        <v>6.1855670103092789E-4</v>
      </c>
      <c r="K71" s="542">
        <f>C71*145.04</f>
        <v>1114.2660618556702</v>
      </c>
      <c r="L71" s="542" t="str">
        <f>D71</f>
        <v>N/A</v>
      </c>
      <c r="M71" s="542" t="str">
        <f>E71</f>
        <v>N/A</v>
      </c>
      <c r="N71" s="542">
        <f>F71*145.04</f>
        <v>1114.2660618556702</v>
      </c>
      <c r="O71" s="196" t="s">
        <v>926</v>
      </c>
      <c r="P71" s="5"/>
      <c r="Q71" s="5"/>
      <c r="R71" s="5"/>
      <c r="S71" s="5"/>
      <c r="T71" s="5"/>
      <c r="U71" s="5"/>
      <c r="V71" s="5"/>
      <c r="W71" s="5"/>
      <c r="X71" s="5"/>
    </row>
    <row r="72" spans="1:24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x14ac:dyDescent="0.2">
      <c r="A73" s="118" t="s">
        <v>1293</v>
      </c>
      <c r="B73" s="5"/>
      <c r="C73" s="5"/>
      <c r="D73" s="5"/>
      <c r="E73" s="5"/>
      <c r="F73" s="5"/>
      <c r="G73" s="5"/>
      <c r="H73" s="5"/>
      <c r="I73" s="118" t="s">
        <v>1293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2.75" customHeight="1" x14ac:dyDescent="0.2">
      <c r="A75" s="5"/>
      <c r="B75" s="5">
        <f>B9*B11</f>
        <v>36.68</v>
      </c>
      <c r="C75" s="5"/>
      <c r="D75" s="5"/>
      <c r="E75" s="5"/>
      <c r="F75" s="5"/>
      <c r="G75" s="5"/>
      <c r="H75" s="5"/>
      <c r="I75" s="5" t="s">
        <v>1294</v>
      </c>
      <c r="J75" s="5">
        <f>B75*145.04</f>
        <v>5320.0671999999995</v>
      </c>
      <c r="K75" s="64" t="s">
        <v>926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2.75" customHeight="1" x14ac:dyDescent="0.2"/>
  </sheetData>
  <mergeCells count="56">
    <mergeCell ref="S14:X17"/>
    <mergeCell ref="J69:O69"/>
    <mergeCell ref="I37:K39"/>
    <mergeCell ref="L37:P37"/>
    <mergeCell ref="L38:P38"/>
    <mergeCell ref="L39:P39"/>
    <mergeCell ref="I40:K40"/>
    <mergeCell ref="M40:N40"/>
    <mergeCell ref="O40:P40"/>
    <mergeCell ref="I66:O67"/>
    <mergeCell ref="I41:K41"/>
    <mergeCell ref="M41:N41"/>
    <mergeCell ref="I45:O45"/>
    <mergeCell ref="I56:P57"/>
    <mergeCell ref="I59:O60"/>
    <mergeCell ref="J62:O62"/>
    <mergeCell ref="I5:K5"/>
    <mergeCell ref="M5:N5"/>
    <mergeCell ref="K9:O9"/>
    <mergeCell ref="K11:O11"/>
    <mergeCell ref="K15:O16"/>
    <mergeCell ref="I15:I16"/>
    <mergeCell ref="I1:K3"/>
    <mergeCell ref="L1:P1"/>
    <mergeCell ref="L2:P2"/>
    <mergeCell ref="L3:P3"/>
    <mergeCell ref="I4:K4"/>
    <mergeCell ref="M4:N4"/>
    <mergeCell ref="O4:P4"/>
    <mergeCell ref="E41:F41"/>
    <mergeCell ref="D39:H39"/>
    <mergeCell ref="A37:C39"/>
    <mergeCell ref="A41:C41"/>
    <mergeCell ref="C11:G11"/>
    <mergeCell ref="D37:H37"/>
    <mergeCell ref="D38:H38"/>
    <mergeCell ref="A40:C40"/>
    <mergeCell ref="G40:H40"/>
    <mergeCell ref="C69:E69"/>
    <mergeCell ref="A66:G67"/>
    <mergeCell ref="A59:G60"/>
    <mergeCell ref="A45:G45"/>
    <mergeCell ref="C62:E62"/>
    <mergeCell ref="A56:H57"/>
    <mergeCell ref="A5:C5"/>
    <mergeCell ref="E5:F5"/>
    <mergeCell ref="E40:F40"/>
    <mergeCell ref="C9:G9"/>
    <mergeCell ref="D1:H1"/>
    <mergeCell ref="D2:H2"/>
    <mergeCell ref="D3:H3"/>
    <mergeCell ref="A4:C4"/>
    <mergeCell ref="G4:H4"/>
    <mergeCell ref="A1:C3"/>
    <mergeCell ref="E4:F4"/>
    <mergeCell ref="C15:H16"/>
  </mergeCells>
  <pageMargins left="0.74803149606299213" right="0.74803149606299213" top="0.98425196850393704" bottom="0.98425196850393704" header="0" footer="0"/>
  <pageSetup paperSize="9" scale="95" fitToHeight="0" orientation="portrait"/>
  <rowBreaks count="2" manualBreakCount="2">
    <brk id="36" max="7" man="1"/>
    <brk id="36" min="8" max="1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AJ106"/>
  <sheetViews>
    <sheetView workbookViewId="0">
      <selection activeCell="S4" sqref="S4:U5"/>
    </sheetView>
    <sheetView tabSelected="1" topLeftCell="A67" workbookViewId="1">
      <selection sqref="A1:AK5"/>
    </sheetView>
  </sheetViews>
  <sheetFormatPr defaultColWidth="11.42578125" defaultRowHeight="12.75" x14ac:dyDescent="0.2"/>
  <cols>
    <col min="1" max="1" width="12" customWidth="1"/>
    <col min="2" max="2" width="12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9" max="9" width="11.85546875" customWidth="1"/>
    <col min="10" max="10" width="7" customWidth="1"/>
    <col min="11" max="11" width="10.85546875" customWidth="1"/>
    <col min="12" max="12" width="10.42578125" customWidth="1"/>
    <col min="14" max="14" width="10.42578125" customWidth="1"/>
    <col min="17" max="17" width="9.85546875" customWidth="1"/>
    <col min="18" max="18" width="8.140625" customWidth="1"/>
  </cols>
  <sheetData>
    <row r="1" spans="1:36" ht="17.25" customHeight="1" thickTop="1" thickBot="1" x14ac:dyDescent="0.3">
      <c r="A1" s="822"/>
      <c r="B1" s="823"/>
      <c r="C1" s="824"/>
      <c r="D1" s="913" t="str">
        <f>'Front Page'!$A$13</f>
        <v>Mechanical  Calculations</v>
      </c>
      <c r="E1" s="842"/>
      <c r="F1" s="842"/>
      <c r="G1" s="842"/>
      <c r="H1" s="842"/>
      <c r="I1" s="843"/>
      <c r="J1" s="822"/>
      <c r="K1" s="823"/>
      <c r="L1" s="824"/>
      <c r="M1" s="913" t="str">
        <f>'Front Page'!$A$13</f>
        <v>Mechanical  Calculations</v>
      </c>
      <c r="N1" s="842"/>
      <c r="O1" s="842"/>
      <c r="P1" s="842"/>
      <c r="Q1" s="842"/>
      <c r="R1" s="843"/>
      <c r="S1" s="822"/>
      <c r="T1" s="823"/>
      <c r="U1" s="824"/>
      <c r="V1" s="913" t="str">
        <f>'Front Page'!$A$13</f>
        <v>Mechanical  Calculations</v>
      </c>
      <c r="W1" s="842"/>
      <c r="X1" s="842"/>
      <c r="Y1" s="842"/>
      <c r="Z1" s="842"/>
      <c r="AA1" s="843"/>
      <c r="AB1" s="822"/>
      <c r="AC1" s="823"/>
      <c r="AD1" s="824"/>
      <c r="AE1" s="913" t="str">
        <f>'Front Page'!$A$13</f>
        <v>Mechanical  Calculations</v>
      </c>
      <c r="AF1" s="842"/>
      <c r="AG1" s="842"/>
      <c r="AH1" s="842"/>
      <c r="AI1" s="842"/>
      <c r="AJ1" s="843"/>
    </row>
    <row r="2" spans="1:36" ht="16.5" customHeight="1" thickBot="1" x14ac:dyDescent="0.3">
      <c r="A2" s="825"/>
      <c r="B2" s="809"/>
      <c r="C2" s="826"/>
      <c r="D2" s="839"/>
      <c r="E2" s="831"/>
      <c r="F2" s="831"/>
      <c r="G2" s="831"/>
      <c r="H2" s="831"/>
      <c r="I2" s="832"/>
      <c r="J2" s="825"/>
      <c r="K2" s="809"/>
      <c r="L2" s="826"/>
      <c r="M2" s="839"/>
      <c r="N2" s="831"/>
      <c r="O2" s="831"/>
      <c r="P2" s="831"/>
      <c r="Q2" s="831"/>
      <c r="R2" s="832"/>
      <c r="S2" s="825"/>
      <c r="T2" s="809"/>
      <c r="U2" s="826"/>
      <c r="V2" s="839"/>
      <c r="W2" s="831"/>
      <c r="X2" s="831"/>
      <c r="Y2" s="831"/>
      <c r="Z2" s="831"/>
      <c r="AA2" s="832"/>
      <c r="AB2" s="825"/>
      <c r="AC2" s="809"/>
      <c r="AD2" s="826"/>
      <c r="AE2" s="839"/>
      <c r="AF2" s="831"/>
      <c r="AG2" s="831"/>
      <c r="AH2" s="831"/>
      <c r="AI2" s="831"/>
      <c r="AJ2" s="832"/>
    </row>
    <row r="3" spans="1:36" ht="16.5" customHeight="1" thickBot="1" x14ac:dyDescent="0.3">
      <c r="A3" s="827"/>
      <c r="B3" s="828"/>
      <c r="C3" s="829"/>
      <c r="D3" s="839" t="s">
        <v>1661</v>
      </c>
      <c r="E3" s="831"/>
      <c r="F3" s="831"/>
      <c r="G3" s="831"/>
      <c r="H3" s="831"/>
      <c r="I3" s="832"/>
      <c r="J3" s="827"/>
      <c r="K3" s="828"/>
      <c r="L3" s="829"/>
      <c r="M3" s="839" t="s">
        <v>1415</v>
      </c>
      <c r="N3" s="831"/>
      <c r="O3" s="831"/>
      <c r="P3" s="831"/>
      <c r="Q3" s="831"/>
      <c r="R3" s="832"/>
      <c r="S3" s="827"/>
      <c r="T3" s="828"/>
      <c r="U3" s="829"/>
      <c r="V3" s="839" t="s">
        <v>1661</v>
      </c>
      <c r="W3" s="831"/>
      <c r="X3" s="831"/>
      <c r="Y3" s="831"/>
      <c r="Z3" s="831"/>
      <c r="AA3" s="832"/>
      <c r="AB3" s="827"/>
      <c r="AC3" s="828"/>
      <c r="AD3" s="829"/>
      <c r="AE3" s="839" t="s">
        <v>1415</v>
      </c>
      <c r="AF3" s="831"/>
      <c r="AG3" s="831"/>
      <c r="AH3" s="831"/>
      <c r="AI3" s="831"/>
      <c r="AJ3" s="832"/>
    </row>
    <row r="4" spans="1:36" ht="16.5" customHeight="1" thickTop="1" thickBot="1" x14ac:dyDescent="0.3">
      <c r="A4" s="830"/>
      <c r="B4" s="831"/>
      <c r="C4" s="832"/>
      <c r="D4" s="915" t="str">
        <f>'Front Page'!$D$4</f>
        <v>Doc Nº</v>
      </c>
      <c r="E4" s="832"/>
      <c r="F4" s="980"/>
      <c r="G4" s="843"/>
      <c r="H4" s="33"/>
      <c r="I4" s="544"/>
      <c r="J4" s="830"/>
      <c r="K4" s="831"/>
      <c r="L4" s="832"/>
      <c r="M4" s="915" t="str">
        <f>'Front Page'!$D$4</f>
        <v>Doc Nº</v>
      </c>
      <c r="N4" s="832"/>
      <c r="O4" s="846"/>
      <c r="P4" s="832"/>
      <c r="Q4" s="33"/>
      <c r="R4" s="544"/>
      <c r="S4" s="830"/>
      <c r="T4" s="831"/>
      <c r="U4" s="832"/>
      <c r="V4" s="915" t="str">
        <f>'Front Page'!$D$4</f>
        <v>Doc Nº</v>
      </c>
      <c r="W4" s="832"/>
      <c r="X4" s="980"/>
      <c r="Y4" s="843"/>
      <c r="Z4" s="33"/>
      <c r="AA4" s="544"/>
      <c r="AB4" s="830"/>
      <c r="AC4" s="831"/>
      <c r="AD4" s="832"/>
      <c r="AE4" s="915" t="str">
        <f>'Front Page'!$D$4</f>
        <v>Doc Nº</v>
      </c>
      <c r="AF4" s="832"/>
      <c r="AG4" s="846"/>
      <c r="AH4" s="832"/>
      <c r="AI4" s="33"/>
      <c r="AJ4" s="544"/>
    </row>
    <row r="5" spans="1:36" ht="15.75" customHeight="1" thickBot="1" x14ac:dyDescent="0.3">
      <c r="A5" s="987"/>
      <c r="B5" s="834"/>
      <c r="C5" s="835"/>
      <c r="D5" s="914" t="str">
        <f>'Front Page'!$D$5</f>
        <v>Project</v>
      </c>
      <c r="E5" s="835"/>
      <c r="F5" s="899"/>
      <c r="G5" s="835"/>
      <c r="H5" s="131" t="s">
        <v>5</v>
      </c>
      <c r="I5" s="132"/>
      <c r="J5" s="987"/>
      <c r="K5" s="834"/>
      <c r="L5" s="835"/>
      <c r="M5" s="914" t="str">
        <f>'Front Page'!$D$5</f>
        <v>Project</v>
      </c>
      <c r="N5" s="835"/>
      <c r="O5" s="899"/>
      <c r="P5" s="835"/>
      <c r="Q5" s="131" t="s">
        <v>5</v>
      </c>
      <c r="R5" s="132"/>
      <c r="S5" s="987"/>
      <c r="T5" s="834"/>
      <c r="U5" s="835"/>
      <c r="V5" s="914" t="str">
        <f>'Front Page'!$D$5</f>
        <v>Project</v>
      </c>
      <c r="W5" s="835"/>
      <c r="X5" s="899"/>
      <c r="Y5" s="835"/>
      <c r="Z5" s="131" t="s">
        <v>5</v>
      </c>
      <c r="AA5" s="427"/>
      <c r="AB5" s="987"/>
      <c r="AC5" s="834"/>
      <c r="AD5" s="835"/>
      <c r="AE5" s="914" t="str">
        <f>'Front Page'!$D$5</f>
        <v>Project</v>
      </c>
      <c r="AF5" s="835"/>
      <c r="AG5" s="899"/>
      <c r="AH5" s="835"/>
      <c r="AI5" s="131" t="s">
        <v>5</v>
      </c>
      <c r="AJ5" s="427"/>
    </row>
    <row r="6" spans="1:36" ht="15.75" customHeight="1" thickTop="1" x14ac:dyDescent="0.25">
      <c r="A6" s="14"/>
      <c r="B6" s="14"/>
      <c r="C6" s="14"/>
      <c r="D6" s="628"/>
      <c r="E6" s="628"/>
      <c r="F6" s="14"/>
      <c r="G6" s="14"/>
      <c r="H6" s="118"/>
      <c r="I6" s="14"/>
      <c r="J6" s="14"/>
      <c r="K6" s="14"/>
      <c r="L6" s="14"/>
      <c r="M6" s="628"/>
      <c r="N6" s="628"/>
      <c r="O6" s="14"/>
      <c r="P6" s="14"/>
      <c r="Q6" s="118"/>
      <c r="R6" s="14"/>
      <c r="S6" s="14"/>
      <c r="T6" s="14"/>
      <c r="U6" s="14"/>
      <c r="V6" s="628"/>
      <c r="W6" s="628"/>
      <c r="X6" s="14"/>
      <c r="Y6" s="14"/>
      <c r="Z6" s="118"/>
      <c r="AA6" s="14"/>
      <c r="AB6" s="14"/>
      <c r="AC6" s="14"/>
      <c r="AD6" s="14"/>
      <c r="AE6" s="628"/>
      <c r="AF6" s="628"/>
      <c r="AG6" s="14"/>
      <c r="AH6" s="14"/>
      <c r="AI6" s="118"/>
      <c r="AJ6" s="14"/>
    </row>
    <row r="7" spans="1:36" x14ac:dyDescent="0.2">
      <c r="A7" s="1004" t="s">
        <v>1662</v>
      </c>
      <c r="B7" s="809"/>
      <c r="C7" s="809"/>
      <c r="D7" s="809"/>
      <c r="E7" s="809"/>
      <c r="F7" s="809"/>
      <c r="G7" s="809"/>
      <c r="H7" s="809"/>
      <c r="I7" s="809"/>
      <c r="J7" s="5"/>
      <c r="K7" s="5"/>
      <c r="L7" s="5"/>
      <c r="M7" s="5"/>
      <c r="N7" s="5"/>
      <c r="O7" s="5"/>
      <c r="P7" s="5"/>
      <c r="Q7" s="5"/>
      <c r="R7" s="5"/>
      <c r="S7" s="1004" t="s">
        <v>1662</v>
      </c>
      <c r="T7" s="809"/>
      <c r="U7" s="809"/>
      <c r="V7" s="809"/>
      <c r="W7" s="809"/>
      <c r="X7" s="809"/>
      <c r="Y7" s="809"/>
      <c r="Z7" s="809"/>
      <c r="AA7" s="809"/>
      <c r="AB7" s="5"/>
      <c r="AC7" s="5"/>
      <c r="AD7" s="5"/>
      <c r="AE7" s="5"/>
      <c r="AF7" s="5"/>
      <c r="AG7" s="5"/>
      <c r="AH7" s="5"/>
      <c r="AI7" s="5"/>
      <c r="AJ7" s="5"/>
    </row>
    <row r="8" spans="1:36" x14ac:dyDescent="0.2">
      <c r="A8" s="809"/>
      <c r="B8" s="809"/>
      <c r="C8" s="809"/>
      <c r="D8" s="809"/>
      <c r="E8" s="809"/>
      <c r="F8" s="809"/>
      <c r="G8" s="809"/>
      <c r="H8" s="809"/>
      <c r="I8" s="809"/>
      <c r="J8" s="5"/>
      <c r="K8" s="5"/>
      <c r="L8" s="5"/>
      <c r="M8" s="5"/>
      <c r="N8" s="5"/>
      <c r="O8" s="5"/>
      <c r="P8" s="5"/>
      <c r="Q8" s="5"/>
      <c r="R8" s="5"/>
      <c r="S8" s="809"/>
      <c r="T8" s="809"/>
      <c r="U8" s="809"/>
      <c r="V8" s="809"/>
      <c r="W8" s="809"/>
      <c r="X8" s="809"/>
      <c r="Y8" s="809"/>
      <c r="Z8" s="809"/>
      <c r="AA8" s="809"/>
      <c r="AB8" s="5"/>
      <c r="AC8" s="5"/>
      <c r="AD8" s="5"/>
      <c r="AE8" s="5"/>
      <c r="AF8" s="5"/>
      <c r="AG8" s="5"/>
      <c r="AH8" s="5"/>
      <c r="AI8" s="5"/>
      <c r="AJ8" s="5"/>
    </row>
    <row r="9" spans="1:36" x14ac:dyDescent="0.2">
      <c r="A9" s="809"/>
      <c r="B9" s="809"/>
      <c r="C9" s="809"/>
      <c r="D9" s="809"/>
      <c r="E9" s="809"/>
      <c r="F9" s="809"/>
      <c r="G9" s="809"/>
      <c r="H9" s="809"/>
      <c r="I9" s="809"/>
      <c r="J9" s="5"/>
      <c r="K9" s="5"/>
      <c r="L9" s="5"/>
      <c r="M9" s="5"/>
      <c r="N9" s="5"/>
      <c r="O9" s="5"/>
      <c r="P9" s="5"/>
      <c r="Q9" s="5"/>
      <c r="R9" s="5"/>
      <c r="S9" s="809"/>
      <c r="T9" s="809"/>
      <c r="U9" s="809"/>
      <c r="V9" s="809"/>
      <c r="W9" s="809"/>
      <c r="X9" s="809"/>
      <c r="Y9" s="809"/>
      <c r="Z9" s="809"/>
      <c r="AA9" s="809"/>
      <c r="AB9" s="5"/>
      <c r="AC9" s="5"/>
      <c r="AD9" s="5"/>
      <c r="AE9" s="5"/>
      <c r="AF9" s="5"/>
      <c r="AG9" s="5"/>
      <c r="AH9" s="5"/>
      <c r="AI9" s="5"/>
      <c r="AJ9" s="5"/>
    </row>
    <row r="10" spans="1:36" x14ac:dyDescent="0.2">
      <c r="A10" s="5"/>
      <c r="B10" s="5"/>
      <c r="C10" s="5"/>
      <c r="D10" s="5"/>
      <c r="E10" s="5"/>
      <c r="F10" s="5"/>
      <c r="G10" s="5"/>
      <c r="H10" s="5"/>
      <c r="I10" s="5"/>
      <c r="J10" s="14"/>
      <c r="K10" s="5"/>
      <c r="L10" s="5"/>
      <c r="M10" s="226"/>
      <c r="N10" s="54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14"/>
      <c r="AC10" s="5"/>
      <c r="AD10" s="5"/>
      <c r="AE10" s="5"/>
      <c r="AF10" s="5"/>
      <c r="AG10" s="5"/>
      <c r="AH10" s="5"/>
      <c r="AI10" s="5"/>
      <c r="AJ10" s="5"/>
    </row>
    <row r="11" spans="1:36" ht="18" customHeight="1" x14ac:dyDescent="0.25">
      <c r="A11" s="134" t="s">
        <v>1302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34" t="s">
        <v>1302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6"/>
      <c r="O12" s="248"/>
      <c r="P12" s="6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26" t="s">
        <v>1303</v>
      </c>
      <c r="AI12" s="547">
        <f>+'Outer Tank Roof'!J20</f>
        <v>0.47244094488188981</v>
      </c>
      <c r="AJ12" s="5"/>
    </row>
    <row r="13" spans="1:36" x14ac:dyDescent="0.2">
      <c r="A13" s="226" t="s">
        <v>197</v>
      </c>
      <c r="B13" s="265">
        <f>'Thermal calculation 2'!K82+'Weight Calculations'!H71</f>
        <v>80084.941287362512</v>
      </c>
      <c r="C13" s="5" t="s">
        <v>1304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226" t="s">
        <v>197</v>
      </c>
      <c r="T13" s="332">
        <f>B13*2.205</f>
        <v>176587.29553863435</v>
      </c>
      <c r="U13" s="64" t="s">
        <v>1305</v>
      </c>
      <c r="V13" s="5"/>
      <c r="W13" s="5"/>
      <c r="X13" s="5"/>
      <c r="Y13" s="5"/>
      <c r="Z13" s="5"/>
      <c r="AA13" s="5"/>
      <c r="AB13" s="5"/>
      <c r="AC13" s="5"/>
      <c r="AD13" s="5"/>
      <c r="AE13" s="507"/>
      <c r="AF13" s="5"/>
      <c r="AG13" s="5"/>
      <c r="AH13" s="5"/>
      <c r="AI13" s="5"/>
      <c r="AJ13" s="5"/>
    </row>
    <row r="14" spans="1:36" x14ac:dyDescent="0.2">
      <c r="A14" s="226" t="s">
        <v>1306</v>
      </c>
      <c r="B14" s="389">
        <f>'Main Dimensions Calcs'!D32/2</f>
        <v>11700</v>
      </c>
      <c r="C14" s="5" t="s">
        <v>1307</v>
      </c>
      <c r="D14" s="5"/>
      <c r="E14" s="5"/>
      <c r="F14" s="5"/>
      <c r="G14" s="5"/>
      <c r="H14" s="5"/>
      <c r="I14" s="5"/>
      <c r="J14" s="5"/>
      <c r="K14" s="507"/>
      <c r="L14" s="5"/>
      <c r="M14" s="5"/>
      <c r="N14" s="5"/>
      <c r="O14" s="5"/>
      <c r="P14" s="5"/>
      <c r="Q14" s="5"/>
      <c r="R14" s="5"/>
      <c r="S14" s="226" t="s">
        <v>1306</v>
      </c>
      <c r="T14" s="391">
        <f t="shared" ref="T14:T19" si="0">B14/25.4</f>
        <v>460.62992125984255</v>
      </c>
      <c r="U14" s="64" t="s">
        <v>1308</v>
      </c>
      <c r="V14" s="5"/>
      <c r="W14" s="5"/>
      <c r="X14" s="5"/>
      <c r="Y14" s="5"/>
      <c r="Z14" s="5"/>
      <c r="AA14" s="5"/>
      <c r="AB14" s="5"/>
      <c r="AC14" s="226"/>
      <c r="AD14" s="5"/>
      <c r="AE14" s="507"/>
      <c r="AF14" s="5"/>
      <c r="AG14" s="5"/>
      <c r="AH14" s="5"/>
      <c r="AI14" s="5"/>
      <c r="AJ14" s="5"/>
    </row>
    <row r="15" spans="1:36" x14ac:dyDescent="0.2">
      <c r="A15" s="548" t="s">
        <v>1309</v>
      </c>
      <c r="B15" s="389">
        <f>'Main Dimensions Calcs'!D33</f>
        <v>19400</v>
      </c>
      <c r="C15" s="5" t="s">
        <v>1310</v>
      </c>
      <c r="D15" s="5"/>
      <c r="E15" s="5"/>
      <c r="F15" s="5"/>
      <c r="G15" s="5"/>
      <c r="H15" s="5"/>
      <c r="I15" s="5"/>
      <c r="J15" s="5"/>
      <c r="K15" s="507"/>
      <c r="L15" s="5"/>
      <c r="M15" s="5"/>
      <c r="N15" s="5"/>
      <c r="O15" s="5"/>
      <c r="P15" s="5"/>
      <c r="Q15" s="5"/>
      <c r="R15" s="5"/>
      <c r="S15" s="548" t="s">
        <v>1309</v>
      </c>
      <c r="T15" s="391">
        <f t="shared" si="0"/>
        <v>763.77952755905517</v>
      </c>
      <c r="U15" s="64" t="s">
        <v>1311</v>
      </c>
      <c r="V15" s="5"/>
      <c r="W15" s="5"/>
      <c r="X15" s="5"/>
      <c r="Y15" s="5"/>
      <c r="Z15" s="5"/>
      <c r="AA15" s="5"/>
      <c r="AB15" s="5"/>
      <c r="AC15" s="226"/>
      <c r="AD15" s="5"/>
      <c r="AE15" s="5"/>
      <c r="AF15" s="5"/>
      <c r="AG15" s="5"/>
      <c r="AH15" s="5"/>
      <c r="AI15" s="5"/>
      <c r="AJ15" s="5"/>
    </row>
    <row r="16" spans="1:36" x14ac:dyDescent="0.2">
      <c r="A16" s="548" t="s">
        <v>1221</v>
      </c>
      <c r="B16" s="399">
        <f>'Main Dimensions Calcs'!K36</f>
        <v>8</v>
      </c>
      <c r="C16" s="5" t="s">
        <v>1312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48" t="s">
        <v>1221</v>
      </c>
      <c r="T16" s="391">
        <f t="shared" si="0"/>
        <v>0.31496062992125984</v>
      </c>
      <c r="U16" s="64" t="s">
        <v>1313</v>
      </c>
      <c r="V16" s="5"/>
      <c r="W16" s="5"/>
      <c r="X16" s="5"/>
      <c r="Y16" s="5"/>
      <c r="Z16" s="5"/>
      <c r="AA16" s="5"/>
      <c r="AB16" s="226"/>
      <c r="AC16" s="5"/>
      <c r="AD16" s="226"/>
      <c r="AE16" s="549"/>
      <c r="AF16" s="5"/>
      <c r="AG16" s="5"/>
      <c r="AH16" s="5"/>
      <c r="AI16" s="5"/>
      <c r="AJ16" s="5"/>
    </row>
    <row r="17" spans="1:36" x14ac:dyDescent="0.2">
      <c r="A17" s="548" t="s">
        <v>1314</v>
      </c>
      <c r="B17" s="399">
        <v>300</v>
      </c>
      <c r="C17" s="5" t="s">
        <v>1315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341" t="s">
        <v>1316</v>
      </c>
      <c r="T17" s="391">
        <f t="shared" si="0"/>
        <v>11.811023622047244</v>
      </c>
      <c r="U17" s="64" t="s">
        <v>1663</v>
      </c>
      <c r="V17" s="5"/>
      <c r="W17" s="5"/>
      <c r="X17" s="5"/>
      <c r="Y17" s="5"/>
      <c r="Z17" s="5"/>
      <c r="AA17" s="5"/>
      <c r="AB17" s="226"/>
      <c r="AC17" s="226"/>
      <c r="AD17" s="5"/>
      <c r="AE17" s="5"/>
      <c r="AF17" s="5"/>
      <c r="AG17" s="5"/>
      <c r="AH17" s="5"/>
      <c r="AI17" s="5"/>
      <c r="AJ17" s="5"/>
    </row>
    <row r="18" spans="1:36" x14ac:dyDescent="0.2">
      <c r="A18" s="548" t="s">
        <v>1181</v>
      </c>
      <c r="B18" s="399">
        <f>'Main Dimensions Calcs'!D35</f>
        <v>12</v>
      </c>
      <c r="C18" s="5" t="s">
        <v>1318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48" t="s">
        <v>1181</v>
      </c>
      <c r="T18" s="391">
        <f t="shared" si="0"/>
        <v>0.47244094488188981</v>
      </c>
      <c r="U18" s="64" t="s">
        <v>1319</v>
      </c>
      <c r="V18" s="5"/>
      <c r="W18" s="5"/>
      <c r="X18" s="5"/>
      <c r="Y18" s="5"/>
      <c r="Z18" s="5"/>
      <c r="AA18" s="5"/>
      <c r="AB18" s="5"/>
      <c r="AC18" s="5"/>
      <c r="AD18" s="5"/>
      <c r="AE18" s="226" t="s">
        <v>1322</v>
      </c>
      <c r="AF18" s="550">
        <f>+T29</f>
        <v>11.397484801714791</v>
      </c>
      <c r="AG18" s="5"/>
      <c r="AH18" s="5"/>
      <c r="AI18" s="5"/>
      <c r="AJ18" s="5"/>
    </row>
    <row r="19" spans="1:36" x14ac:dyDescent="0.2">
      <c r="A19" s="548" t="s">
        <v>541</v>
      </c>
      <c r="B19" s="399">
        <f>'Main Dimensions Calcs'!L46</f>
        <v>90</v>
      </c>
      <c r="C19" s="5" t="s">
        <v>1328</v>
      </c>
      <c r="D19" s="5"/>
      <c r="E19" s="5"/>
      <c r="F19" s="266"/>
      <c r="G19" s="5"/>
      <c r="H19" s="5"/>
      <c r="I19" s="5"/>
      <c r="J19" s="226"/>
      <c r="K19" s="549"/>
      <c r="L19" s="5"/>
      <c r="M19" s="5"/>
      <c r="N19" s="5"/>
      <c r="O19" s="5"/>
      <c r="P19" s="5"/>
      <c r="Q19" s="5"/>
      <c r="R19" s="5"/>
      <c r="S19" s="548" t="s">
        <v>541</v>
      </c>
      <c r="T19" s="391">
        <f t="shared" si="0"/>
        <v>3.5433070866141736</v>
      </c>
      <c r="U19" s="64" t="s">
        <v>1330</v>
      </c>
      <c r="V19" s="5"/>
      <c r="W19" s="5"/>
      <c r="X19" s="5"/>
      <c r="Y19" s="5"/>
      <c r="Z19" s="5"/>
      <c r="AA19" s="5"/>
      <c r="AB19" s="226"/>
      <c r="AC19" s="5"/>
      <c r="AD19" s="5"/>
      <c r="AE19" s="5"/>
      <c r="AF19" s="549"/>
      <c r="AG19" s="5"/>
      <c r="AH19" s="5"/>
      <c r="AI19" s="5"/>
      <c r="AJ19" s="5"/>
    </row>
    <row r="20" spans="1:36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226" t="s">
        <v>1322</v>
      </c>
      <c r="L20" s="549">
        <f>B29</f>
        <v>289.49611396355567</v>
      </c>
      <c r="M20" s="5"/>
      <c r="N20" s="5"/>
      <c r="O20" s="5"/>
      <c r="P20" s="5"/>
      <c r="Q20" s="5"/>
      <c r="R20" s="5"/>
      <c r="S20" s="5"/>
      <c r="T20" s="332"/>
      <c r="U20" s="5"/>
      <c r="V20" s="5"/>
      <c r="W20" s="5"/>
      <c r="X20" s="5"/>
      <c r="Y20" s="5"/>
      <c r="Z20" s="5"/>
      <c r="AA20" s="5"/>
      <c r="AB20" s="5"/>
      <c r="AC20" s="5"/>
      <c r="AD20" s="226" t="s">
        <v>1329</v>
      </c>
      <c r="AE20" s="552">
        <f>+AF18+AD24</f>
        <v>14.940791888328965</v>
      </c>
      <c r="AF20" s="5"/>
      <c r="AG20" s="5"/>
      <c r="AH20" s="226" t="s">
        <v>1303</v>
      </c>
      <c r="AI20" s="553">
        <f>+T18</f>
        <v>0.47244094488188981</v>
      </c>
      <c r="AJ20" s="5"/>
    </row>
    <row r="21" spans="1:36" x14ac:dyDescent="0.2">
      <c r="A21" s="226" t="s">
        <v>1331</v>
      </c>
      <c r="B21" s="333">
        <f>'Design Conditions'!J13</f>
        <v>5.5899999999999998E-2</v>
      </c>
      <c r="C21" s="5" t="s">
        <v>1332</v>
      </c>
      <c r="D21" s="5"/>
      <c r="E21" s="5"/>
      <c r="F21" s="5"/>
      <c r="G21" s="266" t="s">
        <v>1664</v>
      </c>
      <c r="H21" s="5"/>
      <c r="I21" s="5"/>
      <c r="J21" s="5"/>
      <c r="K21" s="5"/>
      <c r="L21" s="5"/>
      <c r="M21" s="5"/>
      <c r="N21" s="226" t="s">
        <v>1303</v>
      </c>
      <c r="O21" s="551">
        <f>B18</f>
        <v>12</v>
      </c>
      <c r="P21" s="5"/>
      <c r="Q21" s="5"/>
      <c r="R21" s="5"/>
      <c r="S21" s="226" t="s">
        <v>1331</v>
      </c>
      <c r="T21" s="428">
        <f>B21*14.5</f>
        <v>0.81054999999999999</v>
      </c>
      <c r="U21" s="64" t="s">
        <v>1334</v>
      </c>
      <c r="V21" s="5"/>
      <c r="W21" s="5"/>
      <c r="X21" s="64" t="s">
        <v>1664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8.75" customHeight="1" x14ac:dyDescent="0.2">
      <c r="A22" s="226" t="s">
        <v>1335</v>
      </c>
      <c r="B22" s="629">
        <f>+'Design Conditions'!J25</f>
        <v>0.01</v>
      </c>
      <c r="C22" s="5" t="s">
        <v>1336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226" t="s">
        <v>1335</v>
      </c>
      <c r="T22" s="428">
        <f>B22*14.5</f>
        <v>0.14499999999999999</v>
      </c>
      <c r="U22" s="64" t="s">
        <v>1338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19.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226" t="s">
        <v>1333</v>
      </c>
      <c r="AJ23" s="556">
        <f>+T15</f>
        <v>763.77952755905517</v>
      </c>
    </row>
    <row r="24" spans="1:36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26" t="s">
        <v>1333</v>
      </c>
      <c r="P24" s="554">
        <f>B15</f>
        <v>19400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226" t="s">
        <v>1337</v>
      </c>
      <c r="AD24" s="557">
        <f>+T19</f>
        <v>3.5433070866141736</v>
      </c>
      <c r="AE24" s="5"/>
      <c r="AF24" s="5"/>
      <c r="AG24" s="5"/>
      <c r="AH24" s="5"/>
      <c r="AI24" s="5"/>
      <c r="AJ24" s="5"/>
    </row>
    <row r="25" spans="1:36" ht="18" customHeight="1" x14ac:dyDescent="0.25">
      <c r="A25" s="134" t="s">
        <v>1339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34" t="s">
        <v>1339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18" customHeight="1" x14ac:dyDescent="0.25">
      <c r="A26" s="134" t="s">
        <v>1665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34" t="s">
        <v>1665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341" t="s">
        <v>1340</v>
      </c>
      <c r="AG26" s="550">
        <f>90-AE32</f>
        <v>37.09172456210176</v>
      </c>
      <c r="AH26" s="5"/>
      <c r="AI26" s="5"/>
      <c r="AJ26" s="5"/>
    </row>
    <row r="27" spans="1:36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x14ac:dyDescent="0.2">
      <c r="A28" s="226" t="s">
        <v>1314</v>
      </c>
      <c r="B28" s="418">
        <f>0.6*( B16*B14)^(1/2)</f>
        <v>183.56470248934025</v>
      </c>
      <c r="C28" s="5" t="s">
        <v>247</v>
      </c>
      <c r="D28" s="5" t="s">
        <v>1342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226" t="s">
        <v>1314</v>
      </c>
      <c r="T28" s="417">
        <f>B28/25.4</f>
        <v>7.2269567909189076</v>
      </c>
      <c r="U28" s="64" t="s">
        <v>248</v>
      </c>
      <c r="V28" s="5" t="s">
        <v>1342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58"/>
      <c r="AI28" s="558"/>
      <c r="AJ28" s="558"/>
    </row>
    <row r="29" spans="1:36" x14ac:dyDescent="0.2">
      <c r="A29" s="226" t="s">
        <v>1324</v>
      </c>
      <c r="B29" s="418">
        <f>0.6*(B18*B15)^(1/2)</f>
        <v>289.49611396355567</v>
      </c>
      <c r="C29" s="5" t="s">
        <v>247</v>
      </c>
      <c r="D29" s="5" t="s">
        <v>1343</v>
      </c>
      <c r="E29" s="5"/>
      <c r="F29" s="5"/>
      <c r="G29" s="5"/>
      <c r="H29" s="5"/>
      <c r="I29" s="5"/>
      <c r="J29" s="5"/>
      <c r="K29" s="5"/>
      <c r="L29" s="5"/>
      <c r="M29" s="5"/>
      <c r="N29" s="558"/>
      <c r="O29" s="558"/>
      <c r="P29" s="558"/>
      <c r="Q29" s="5"/>
      <c r="R29" s="5"/>
      <c r="S29" s="226" t="s">
        <v>1324</v>
      </c>
      <c r="T29" s="417">
        <f>B29/25.4</f>
        <v>11.397484801714791</v>
      </c>
      <c r="U29" s="64" t="s">
        <v>248</v>
      </c>
      <c r="V29" s="5" t="s">
        <v>1343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248"/>
      <c r="AF30" s="5"/>
      <c r="AG30" s="5"/>
      <c r="AH30" s="5"/>
      <c r="AI30" s="5"/>
      <c r="AJ30" s="5"/>
    </row>
    <row r="31" spans="1:36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24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226"/>
      <c r="AD31" s="5"/>
      <c r="AE31" s="5"/>
      <c r="AF31" s="5"/>
      <c r="AG31" s="226" t="s">
        <v>1344</v>
      </c>
      <c r="AH31" s="552">
        <f>+T28</f>
        <v>7.2269567909189076</v>
      </c>
      <c r="AI31" s="5"/>
      <c r="AJ31" s="5"/>
    </row>
    <row r="32" spans="1:36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14" t="s">
        <v>1344</v>
      </c>
      <c r="N32" s="559">
        <f>B28</f>
        <v>183.56470248934025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226" t="s">
        <v>1345</v>
      </c>
      <c r="AE32" s="550">
        <f>+L37</f>
        <v>52.90827543789824</v>
      </c>
      <c r="AF32" s="5"/>
      <c r="AG32" s="5"/>
      <c r="AH32" s="5"/>
      <c r="AI32" s="5"/>
      <c r="AJ32" s="5"/>
    </row>
    <row r="33" spans="1:36" x14ac:dyDescent="0.2">
      <c r="A33" s="5"/>
      <c r="B33" s="5"/>
      <c r="C33" s="5"/>
      <c r="D33" s="5"/>
      <c r="E33" s="5"/>
      <c r="F33" s="5"/>
      <c r="G33" s="5"/>
      <c r="H33" s="5"/>
      <c r="I33" s="5"/>
      <c r="J33" s="226" t="s">
        <v>1337</v>
      </c>
      <c r="K33" s="549">
        <f>B19</f>
        <v>90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226"/>
      <c r="AC33" s="226"/>
      <c r="AD33" s="5"/>
      <c r="AE33" s="5"/>
      <c r="AF33" s="5"/>
      <c r="AG33" s="5"/>
      <c r="AH33" s="5"/>
      <c r="AI33" s="5"/>
      <c r="AJ33" s="5"/>
    </row>
    <row r="34" spans="1:36" ht="18" customHeight="1" x14ac:dyDescent="0.25">
      <c r="A34" s="420" t="s">
        <v>1348</v>
      </c>
      <c r="B34" s="560"/>
      <c r="C34" s="134"/>
      <c r="D34" s="13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420" t="s">
        <v>1348</v>
      </c>
      <c r="T34" s="560"/>
      <c r="U34" s="134"/>
      <c r="V34" s="134"/>
      <c r="W34" s="5"/>
      <c r="X34" s="5"/>
      <c r="Y34" s="5"/>
      <c r="Z34" s="5"/>
      <c r="AA34" s="5"/>
      <c r="AB34" s="5"/>
      <c r="AC34" s="5"/>
      <c r="AD34" s="226" t="s">
        <v>1346</v>
      </c>
      <c r="AE34" s="553">
        <f>+T16</f>
        <v>0.31496062992125984</v>
      </c>
      <c r="AF34" s="5"/>
      <c r="AG34" s="5"/>
      <c r="AH34" s="5"/>
      <c r="AI34" s="5"/>
      <c r="AJ34" s="5"/>
    </row>
    <row r="35" spans="1:36" ht="18" customHeight="1" x14ac:dyDescent="0.25">
      <c r="A35" s="420"/>
      <c r="B35" s="560"/>
      <c r="C35" s="134"/>
      <c r="D35" s="134"/>
      <c r="E35" s="5"/>
      <c r="F35" s="5"/>
      <c r="G35" s="5"/>
      <c r="H35" s="5"/>
      <c r="I35" s="5"/>
      <c r="J35" s="226" t="s">
        <v>1346</v>
      </c>
      <c r="K35" s="551">
        <f>B16</f>
        <v>8</v>
      </c>
      <c r="L35" s="5"/>
      <c r="M35" s="5"/>
      <c r="N35" s="5"/>
      <c r="O35" s="5"/>
      <c r="P35" s="5"/>
      <c r="Q35" s="5"/>
      <c r="R35" s="5"/>
      <c r="S35" s="420"/>
      <c r="T35" s="560"/>
      <c r="U35" s="134"/>
      <c r="V35" s="134"/>
      <c r="W35" s="5"/>
      <c r="X35" s="5"/>
      <c r="Y35" s="5"/>
      <c r="Z35" s="5"/>
      <c r="AA35" s="5"/>
      <c r="AB35" s="226"/>
      <c r="AC35" s="5"/>
      <c r="AD35" s="5"/>
      <c r="AE35" s="5"/>
      <c r="AF35" s="5"/>
      <c r="AG35" s="5"/>
      <c r="AH35" s="226" t="s">
        <v>1347</v>
      </c>
      <c r="AI35" s="556">
        <f>+T14</f>
        <v>460.62992125984255</v>
      </c>
      <c r="AJ35" s="5"/>
    </row>
    <row r="36" spans="1:36" x14ac:dyDescent="0.2">
      <c r="A36" s="226" t="s">
        <v>1349</v>
      </c>
      <c r="B36" s="263">
        <f>B16*B28+(B19+MIN(B29))*B18</f>
        <v>6022.4709874773898</v>
      </c>
      <c r="C36" s="5" t="s">
        <v>334</v>
      </c>
      <c r="D36" s="5" t="s">
        <v>1350</v>
      </c>
      <c r="E36" s="5"/>
      <c r="F36" s="5"/>
      <c r="G36" s="5"/>
      <c r="H36" s="5"/>
      <c r="I36" s="5"/>
      <c r="J36" s="5"/>
      <c r="K36" s="5"/>
      <c r="L36" s="5"/>
      <c r="M36" s="5"/>
      <c r="N36" s="226" t="s">
        <v>1347</v>
      </c>
      <c r="O36" s="554">
        <f>B14</f>
        <v>11700</v>
      </c>
      <c r="P36" s="5"/>
      <c r="Q36" s="5"/>
      <c r="R36" s="5"/>
      <c r="S36" s="226" t="s">
        <v>1349</v>
      </c>
      <c r="T36" s="418">
        <f>B36/(25.4*25.4)</f>
        <v>9.3348487002873561</v>
      </c>
      <c r="U36" s="64" t="s">
        <v>1174</v>
      </c>
      <c r="V36" s="5" t="s">
        <v>1350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ht="14.25" customHeight="1" x14ac:dyDescent="0.2">
      <c r="A37" s="226" t="s">
        <v>1351</v>
      </c>
      <c r="B37" s="332">
        <f>(1-(B14/B15)^2)^0.5</f>
        <v>0.79767104403005917</v>
      </c>
      <c r="C37" s="5"/>
      <c r="D37" s="248" t="s">
        <v>1352</v>
      </c>
      <c r="E37" s="5"/>
      <c r="F37" s="5"/>
      <c r="G37" s="5"/>
      <c r="H37" s="5"/>
      <c r="I37" s="5"/>
      <c r="J37" s="5"/>
      <c r="K37" s="226" t="s">
        <v>1345</v>
      </c>
      <c r="L37" s="550">
        <f>ASIN(B37)*180/PI()</f>
        <v>52.90827543789824</v>
      </c>
      <c r="M37" s="5"/>
      <c r="N37" s="5"/>
      <c r="O37" s="5"/>
      <c r="P37" s="5"/>
      <c r="Q37" s="5"/>
      <c r="R37" s="5"/>
      <c r="S37" s="226" t="s">
        <v>1351</v>
      </c>
      <c r="T37" s="332">
        <f>(1-(T14/T15)^2)^0.5</f>
        <v>0.79767104403005917</v>
      </c>
      <c r="U37" s="5"/>
      <c r="V37" s="248" t="s">
        <v>1352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x14ac:dyDescent="0.2">
      <c r="A38" s="226" t="s">
        <v>1090</v>
      </c>
      <c r="B38" s="306">
        <f>PI()*(B14/1000)^2</f>
        <v>430.05261834990671</v>
      </c>
      <c r="C38" s="5" t="s">
        <v>688</v>
      </c>
      <c r="D38" s="5" t="s">
        <v>1353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226" t="s">
        <v>1090</v>
      </c>
      <c r="T38" s="418">
        <f>B38/(25.4*25.4)*1000000</f>
        <v>666582.89160813869</v>
      </c>
      <c r="U38" s="64" t="s">
        <v>1174</v>
      </c>
      <c r="V38" s="5" t="s">
        <v>1353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x14ac:dyDescent="0.2">
      <c r="A39" s="341" t="s">
        <v>1422</v>
      </c>
      <c r="B39" s="306">
        <f>B18*16</f>
        <v>192</v>
      </c>
      <c r="C39" s="5" t="s">
        <v>247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226" t="s">
        <v>1354</v>
      </c>
      <c r="T39" s="418">
        <f>B40/25.4</f>
        <v>15.118110236220474</v>
      </c>
      <c r="U39" s="64" t="s">
        <v>248</v>
      </c>
      <c r="V39" s="5"/>
      <c r="W39" s="5"/>
      <c r="X39" s="5"/>
      <c r="Y39" s="5"/>
      <c r="Z39" s="5"/>
      <c r="AA39" s="5"/>
      <c r="AB39" s="5"/>
      <c r="AC39" s="561"/>
      <c r="AD39" s="5"/>
      <c r="AE39" s="5"/>
      <c r="AF39" s="5"/>
      <c r="AG39" s="5"/>
      <c r="AH39" s="5"/>
      <c r="AI39" s="5"/>
      <c r="AJ39" s="5"/>
    </row>
    <row r="40" spans="1:36" x14ac:dyDescent="0.2">
      <c r="A40" s="341" t="s">
        <v>1354</v>
      </c>
      <c r="B40" s="5">
        <f>B18*32</f>
        <v>384</v>
      </c>
      <c r="C40" s="5" t="s">
        <v>247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ht="18" customHeight="1" x14ac:dyDescent="0.25">
      <c r="A42" s="134" t="s">
        <v>1356</v>
      </c>
      <c r="B42" s="134"/>
      <c r="C42" s="134"/>
      <c r="D42" s="5"/>
      <c r="E42" s="134"/>
      <c r="F42" s="13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34" t="s">
        <v>1356</v>
      </c>
      <c r="T42" s="134"/>
      <c r="U42" s="134"/>
      <c r="V42" s="5"/>
      <c r="W42" s="134"/>
      <c r="X42" s="134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x14ac:dyDescent="0.2">
      <c r="A44" s="5"/>
      <c r="B44" s="5" t="s">
        <v>1357</v>
      </c>
      <c r="C44" s="5" t="s">
        <v>1358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289" t="s">
        <v>1357</v>
      </c>
      <c r="U44" s="289" t="s">
        <v>1358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2">
      <c r="A45" s="5"/>
      <c r="B45" s="5" t="s">
        <v>1359</v>
      </c>
      <c r="C45" s="5" t="s">
        <v>1360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289" t="s">
        <v>1359</v>
      </c>
      <c r="U45" s="289" t="s">
        <v>1360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2">
      <c r="A46" s="14" t="s">
        <v>1002</v>
      </c>
      <c r="B46" s="418">
        <f>$B$15/(2*1000)*(B21*100000-$B$13*9.8/$B$38)</f>
        <v>36520.806840504883</v>
      </c>
      <c r="C46" s="418">
        <f>$B$15/2/1000*(B22*100000-$B$13*9.8/$B$38)</f>
        <v>-8002.1931594951111</v>
      </c>
      <c r="D46" s="248" t="s">
        <v>1361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402" t="s">
        <v>1002</v>
      </c>
      <c r="T46" s="630">
        <f t="shared" ref="T46:U48" si="1">B46*0.0057</f>
        <v>208.16859899087785</v>
      </c>
      <c r="U46" s="630">
        <f t="shared" si="1"/>
        <v>-45.612501009122134</v>
      </c>
      <c r="V46" s="69" t="s">
        <v>1362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2">
      <c r="A47" s="14" t="s">
        <v>1003</v>
      </c>
      <c r="B47" s="418">
        <f>$B$15/1000*B21*100000-B46</f>
        <v>71925.193159495117</v>
      </c>
      <c r="C47" s="418">
        <f>$B$15/1000*B22*100000-C46</f>
        <v>27402.193159495109</v>
      </c>
      <c r="D47" s="5" t="s">
        <v>1363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402" t="s">
        <v>1003</v>
      </c>
      <c r="T47" s="630">
        <f t="shared" si="1"/>
        <v>409.97360100912221</v>
      </c>
      <c r="U47" s="630">
        <f t="shared" si="1"/>
        <v>156.19250100912214</v>
      </c>
      <c r="V47" s="64" t="s">
        <v>1364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2">
      <c r="A48" s="14" t="s">
        <v>1365</v>
      </c>
      <c r="B48" s="14">
        <f>$B$14/1000*B21*100000</f>
        <v>65402.999999999985</v>
      </c>
      <c r="C48" s="14">
        <f>$B$14/1000*B22*100000</f>
        <v>11700</v>
      </c>
      <c r="D48" s="5" t="s">
        <v>1366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402" t="s">
        <v>1365</v>
      </c>
      <c r="T48" s="630">
        <f t="shared" si="1"/>
        <v>372.79709999999994</v>
      </c>
      <c r="U48" s="630">
        <f t="shared" si="1"/>
        <v>66.69</v>
      </c>
      <c r="V48" s="64" t="s">
        <v>1367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3.5" customHeight="1" thickBo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7.25" customHeight="1" thickTop="1" thickBot="1" x14ac:dyDescent="0.3">
      <c r="A55" s="822"/>
      <c r="B55" s="823"/>
      <c r="C55" s="824"/>
      <c r="D55" s="913" t="str">
        <f>'Front Page'!$A$13</f>
        <v>Mechanical  Calculations</v>
      </c>
      <c r="E55" s="842"/>
      <c r="F55" s="842"/>
      <c r="G55" s="842"/>
      <c r="H55" s="842"/>
      <c r="I55" s="843"/>
      <c r="J55" s="5"/>
      <c r="K55" s="5"/>
      <c r="L55" s="5"/>
      <c r="M55" s="5"/>
      <c r="N55" s="5"/>
      <c r="O55" s="5"/>
      <c r="P55" s="5"/>
      <c r="Q55" s="5"/>
      <c r="R55" s="5"/>
      <c r="S55" s="822"/>
      <c r="T55" s="823"/>
      <c r="U55" s="824"/>
      <c r="V55" s="913" t="str">
        <f>'Front Page'!$A$13</f>
        <v>Mechanical  Calculations</v>
      </c>
      <c r="W55" s="842"/>
      <c r="X55" s="842"/>
      <c r="Y55" s="842"/>
      <c r="Z55" s="842"/>
      <c r="AA55" s="843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6.5" customHeight="1" thickBot="1" x14ac:dyDescent="0.3">
      <c r="A56" s="825"/>
      <c r="B56" s="809"/>
      <c r="C56" s="826"/>
      <c r="D56" s="839"/>
      <c r="E56" s="831"/>
      <c r="F56" s="831"/>
      <c r="G56" s="831"/>
      <c r="H56" s="831"/>
      <c r="I56" s="832"/>
      <c r="J56" s="14"/>
      <c r="K56" s="5"/>
      <c r="L56" s="5"/>
      <c r="M56" s="5"/>
      <c r="N56" s="5"/>
      <c r="O56" s="5"/>
      <c r="P56" s="5"/>
      <c r="Q56" s="5"/>
      <c r="R56" s="5"/>
      <c r="S56" s="825"/>
      <c r="T56" s="809"/>
      <c r="U56" s="826"/>
      <c r="V56" s="839"/>
      <c r="W56" s="831"/>
      <c r="X56" s="831"/>
      <c r="Y56" s="831"/>
      <c r="Z56" s="831"/>
      <c r="AA56" s="832"/>
      <c r="AB56" s="14"/>
      <c r="AC56" s="5"/>
      <c r="AD56" s="5"/>
      <c r="AE56" s="5"/>
      <c r="AF56" s="5"/>
      <c r="AG56" s="5"/>
      <c r="AH56" s="5"/>
      <c r="AI56" s="5"/>
      <c r="AJ56" s="5"/>
    </row>
    <row r="57" spans="1:36" ht="16.5" customHeight="1" thickBot="1" x14ac:dyDescent="0.3">
      <c r="A57" s="827"/>
      <c r="B57" s="828"/>
      <c r="C57" s="829"/>
      <c r="D57" s="839" t="s">
        <v>1661</v>
      </c>
      <c r="E57" s="831"/>
      <c r="F57" s="831"/>
      <c r="G57" s="831"/>
      <c r="H57" s="831"/>
      <c r="I57" s="832"/>
      <c r="J57" s="265"/>
      <c r="K57" s="5"/>
      <c r="L57" s="5"/>
      <c r="M57" s="5"/>
      <c r="N57" s="5"/>
      <c r="O57" s="5"/>
      <c r="P57" s="5"/>
      <c r="Q57" s="5"/>
      <c r="R57" s="5"/>
      <c r="S57" s="827"/>
      <c r="T57" s="828"/>
      <c r="U57" s="829"/>
      <c r="V57" s="839" t="s">
        <v>1661</v>
      </c>
      <c r="W57" s="831"/>
      <c r="X57" s="831"/>
      <c r="Y57" s="831"/>
      <c r="Z57" s="831"/>
      <c r="AA57" s="832"/>
      <c r="AB57" s="265"/>
      <c r="AC57" s="5"/>
      <c r="AD57" s="5"/>
      <c r="AE57" s="5"/>
      <c r="AF57" s="5"/>
      <c r="AG57" s="5"/>
      <c r="AH57" s="5"/>
      <c r="AI57" s="5"/>
      <c r="AJ57" s="5"/>
    </row>
    <row r="58" spans="1:36" ht="15.75" customHeight="1" thickBot="1" x14ac:dyDescent="0.3">
      <c r="A58" s="830"/>
      <c r="B58" s="831"/>
      <c r="C58" s="832"/>
      <c r="D58" s="915" t="str">
        <f>'Front Page'!$D$4</f>
        <v>Doc Nº</v>
      </c>
      <c r="E58" s="832"/>
      <c r="F58" s="846"/>
      <c r="G58" s="832"/>
      <c r="H58" s="33"/>
      <c r="I58" s="544"/>
      <c r="J58" s="265"/>
      <c r="K58" s="5"/>
      <c r="L58" s="5"/>
      <c r="M58" s="5"/>
      <c r="N58" s="5"/>
      <c r="O58" s="5"/>
      <c r="P58" s="5"/>
      <c r="Q58" s="5"/>
      <c r="R58" s="5"/>
      <c r="S58" s="830"/>
      <c r="T58" s="831"/>
      <c r="U58" s="832"/>
      <c r="V58" s="915" t="str">
        <f>'Front Page'!$D$4</f>
        <v>Doc Nº</v>
      </c>
      <c r="W58" s="832"/>
      <c r="X58" s="846"/>
      <c r="Y58" s="832"/>
      <c r="Z58" s="33"/>
      <c r="AA58" s="544"/>
      <c r="AB58" s="265"/>
      <c r="AC58" s="5"/>
      <c r="AD58" s="5"/>
      <c r="AE58" s="5"/>
      <c r="AF58" s="5"/>
      <c r="AG58" s="5"/>
      <c r="AH58" s="5"/>
      <c r="AI58" s="5"/>
      <c r="AJ58" s="5"/>
    </row>
    <row r="59" spans="1:36" ht="15.75" customHeight="1" thickBot="1" x14ac:dyDescent="0.3">
      <c r="A59" s="987"/>
      <c r="B59" s="834"/>
      <c r="C59" s="835"/>
      <c r="D59" s="914" t="str">
        <f>'Front Page'!$D$5</f>
        <v>Project</v>
      </c>
      <c r="E59" s="835"/>
      <c r="F59" s="899"/>
      <c r="G59" s="835"/>
      <c r="H59" s="131" t="s">
        <v>5</v>
      </c>
      <c r="I59" s="132"/>
      <c r="J59" s="5"/>
      <c r="K59" s="5"/>
      <c r="L59" s="5"/>
      <c r="M59" s="5"/>
      <c r="N59" s="5"/>
      <c r="O59" s="5"/>
      <c r="P59" s="5"/>
      <c r="Q59" s="5"/>
      <c r="R59" s="5"/>
      <c r="S59" s="987"/>
      <c r="T59" s="834"/>
      <c r="U59" s="835"/>
      <c r="V59" s="914" t="str">
        <f>'Front Page'!$D$5</f>
        <v>Project</v>
      </c>
      <c r="W59" s="835"/>
      <c r="X59" s="899"/>
      <c r="Y59" s="835"/>
      <c r="Z59" s="131" t="s">
        <v>5</v>
      </c>
      <c r="AA59" s="427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13.5" customHeight="1" thickTop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18" customHeight="1" x14ac:dyDescent="0.25">
      <c r="A62" s="134" t="s">
        <v>1369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34" t="s">
        <v>1369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8" customHeight="1" x14ac:dyDescent="0.25">
      <c r="A63" s="134" t="s">
        <v>1666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34" t="s">
        <v>1666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8" customHeight="1" x14ac:dyDescent="0.25">
      <c r="A64" s="13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34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8" customHeight="1" x14ac:dyDescent="0.25">
      <c r="A65" s="134"/>
      <c r="B65" s="5" t="s">
        <v>1371</v>
      </c>
      <c r="C65" s="5" t="s">
        <v>1358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34"/>
      <c r="T65" s="5" t="s">
        <v>1371</v>
      </c>
      <c r="U65" s="5" t="s">
        <v>1358</v>
      </c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">
      <c r="A66" s="5"/>
      <c r="B66" s="5" t="s">
        <v>1359</v>
      </c>
      <c r="C66" s="5" t="s">
        <v>1360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 t="s">
        <v>1359</v>
      </c>
      <c r="U66" s="5" t="s">
        <v>1360</v>
      </c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">
      <c r="A67" s="14" t="s">
        <v>1372</v>
      </c>
      <c r="B67" s="562">
        <f>-B46*B14/1000*B37+((B47*MIN(B29,)/1000)+B48*B28/1000)</f>
        <v>-328833.92218213185</v>
      </c>
      <c r="C67" s="562">
        <f>-C46*B14/1000*B37+((C47*MIN(B29)/1000)+C48*B28/1000)</f>
        <v>84763.013386034392</v>
      </c>
      <c r="D67" s="5" t="s">
        <v>1373</v>
      </c>
      <c r="E67" s="1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4" t="s">
        <v>1372</v>
      </c>
      <c r="T67" s="418">
        <f>B67</f>
        <v>-328833.92218213185</v>
      </c>
      <c r="U67" s="418">
        <f>C67</f>
        <v>84763.013386034392</v>
      </c>
      <c r="V67" s="5" t="s">
        <v>1373</v>
      </c>
      <c r="W67" s="14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">
      <c r="A68" s="14" t="s">
        <v>1374</v>
      </c>
      <c r="B68" s="631">
        <f>-B67/(B36)</f>
        <v>54.601163354025438</v>
      </c>
      <c r="C68" s="631">
        <f>-C67/(B36)</f>
        <v>-14.074457737078907</v>
      </c>
      <c r="D68" s="5" t="s">
        <v>1375</v>
      </c>
      <c r="E68" s="1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4" t="s">
        <v>1374</v>
      </c>
      <c r="T68" s="631">
        <f>B68*145.04</f>
        <v>7919.3527328678492</v>
      </c>
      <c r="U68" s="631">
        <f>C68*145.04</f>
        <v>-2041.3593501859245</v>
      </c>
      <c r="V68" s="64" t="s">
        <v>1376</v>
      </c>
      <c r="W68" s="14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">
      <c r="A69" s="5" t="s">
        <v>1377</v>
      </c>
      <c r="B69" s="260">
        <f>IF(B67&lt;0,((-B67/0.453/9.8)/15000)*(25.4^2),((B67/0.453/9.8)/15000)*(25.4^2))</f>
        <v>3185.8733647944036</v>
      </c>
      <c r="C69" s="260">
        <f>IF(C67&lt;0,((-C67/0.453/9.8)/18000)*(25.4^2),((C67/0.453/9.8)/18000)*(25.4^2))</f>
        <v>684.34805649579698</v>
      </c>
      <c r="D69" s="5" t="s">
        <v>1378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 t="s">
        <v>1377</v>
      </c>
      <c r="T69" s="418">
        <f>B69/(25.4*25.4)</f>
        <v>4.9381135916585093</v>
      </c>
      <c r="U69" s="418">
        <f>C69/(25.4*25.4)</f>
        <v>1.0607416090517034</v>
      </c>
      <c r="V69" s="64" t="s">
        <v>1379</v>
      </c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265"/>
      <c r="N70" s="306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265"/>
      <c r="AF70" s="306"/>
      <c r="AG70" s="5"/>
      <c r="AH70" s="5"/>
      <c r="AI70" s="5"/>
      <c r="AJ70" s="5"/>
    </row>
    <row r="71" spans="1:3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306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306"/>
      <c r="AH71" s="5"/>
      <c r="AI71" s="5"/>
      <c r="AJ71" s="5"/>
    </row>
    <row r="72" spans="1:36" ht="18" customHeight="1" x14ac:dyDescent="0.25">
      <c r="A72" s="13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34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8" customHeight="1" x14ac:dyDescent="0.25">
      <c r="A75" s="420" t="s">
        <v>942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420" t="s">
        <v>942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">
      <c r="A76" s="5"/>
      <c r="B76" s="5"/>
      <c r="C76" s="5"/>
      <c r="D76" s="5"/>
      <c r="E76" s="5"/>
      <c r="F76" s="5"/>
      <c r="G76" s="5"/>
      <c r="H76" s="5"/>
      <c r="I76" s="5"/>
      <c r="J76" s="563" t="str">
        <f>IF(K76&gt;1,"OK","ERROR")</f>
        <v>ERROR</v>
      </c>
      <c r="K76" s="5">
        <f>+'Main Dimensions Calcs'!L44/B29</f>
        <v>0.82902667228967819</v>
      </c>
      <c r="L76" s="248" t="s">
        <v>1380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63" t="e">
        <f>IF(AC76&gt;1,"OK","ERROR")</f>
        <v>#REF!</v>
      </c>
      <c r="AC76" s="5" t="e">
        <f>#REF!/T29</f>
        <v>#REF!</v>
      </c>
      <c r="AD76" s="248" t="s">
        <v>1380</v>
      </c>
      <c r="AE76" s="5"/>
      <c r="AF76" s="5"/>
      <c r="AG76" s="5"/>
      <c r="AH76" s="5"/>
      <c r="AI76" s="5"/>
      <c r="AJ76" s="5"/>
    </row>
    <row r="77" spans="1:36" x14ac:dyDescent="0.2">
      <c r="A77" s="563"/>
      <c r="B77" s="5"/>
      <c r="C77" s="24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63"/>
      <c r="T77" s="5"/>
      <c r="U77" s="248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">
      <c r="A78" s="563" t="str">
        <f>IF(B78&gt;1,"OK","ERROR")</f>
        <v>OK</v>
      </c>
      <c r="B78" s="5">
        <f>B36/B69</f>
        <v>1.8903673491950119</v>
      </c>
      <c r="C78" s="5" t="s">
        <v>1382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63" t="str">
        <f>IF(T78&gt;1,"OK","ERROR")</f>
        <v>OK</v>
      </c>
      <c r="T78" s="5">
        <f>T36/T69</f>
        <v>1.8903673491950119</v>
      </c>
      <c r="U78" s="5" t="s">
        <v>1382</v>
      </c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">
      <c r="A79" s="563" t="str">
        <f>IF(B79&gt;1,"OK","ERROR")</f>
        <v>OK</v>
      </c>
      <c r="B79" s="5">
        <f>B36/C69</f>
        <v>8.8003040708779707</v>
      </c>
      <c r="C79" s="1003" t="s">
        <v>1383</v>
      </c>
      <c r="D79" s="809"/>
      <c r="E79" s="809"/>
      <c r="F79" s="809"/>
      <c r="G79" s="809"/>
      <c r="H79" s="809"/>
      <c r="I79" s="809"/>
      <c r="J79" s="5"/>
      <c r="K79" s="5"/>
      <c r="L79" s="5"/>
      <c r="M79" s="5"/>
      <c r="N79" s="5"/>
      <c r="O79" s="5"/>
      <c r="P79" s="5"/>
      <c r="Q79" s="5"/>
      <c r="R79" s="5"/>
      <c r="S79" s="563" t="str">
        <f>IF(T79&gt;1,"OK","ERROR")</f>
        <v>OK</v>
      </c>
      <c r="T79" s="5">
        <f>T36/U69</f>
        <v>8.8003040708779725</v>
      </c>
      <c r="U79" s="1003" t="s">
        <v>1383</v>
      </c>
      <c r="V79" s="809"/>
      <c r="W79" s="809"/>
      <c r="X79" s="809"/>
      <c r="Y79" s="809"/>
      <c r="Z79" s="809"/>
      <c r="AA79" s="809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">
      <c r="A80" s="5"/>
      <c r="B80" s="5"/>
      <c r="C80" s="809"/>
      <c r="D80" s="809"/>
      <c r="E80" s="809"/>
      <c r="F80" s="809"/>
      <c r="G80" s="809"/>
      <c r="H80" s="809"/>
      <c r="I80" s="809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809"/>
      <c r="V80" s="809"/>
      <c r="W80" s="809"/>
      <c r="X80" s="809"/>
      <c r="Y80" s="809"/>
      <c r="Z80" s="809"/>
      <c r="AA80" s="809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">
      <c r="A81" s="563" t="str">
        <f>IF(B81&lt;=1,"OK","ERROR")</f>
        <v>OK</v>
      </c>
      <c r="B81" s="5">
        <f>B19/B39</f>
        <v>0.46875</v>
      </c>
      <c r="C81" s="64" t="s">
        <v>1667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63" t="str">
        <f>IF(T81&lt;1,"OK","ERROR")</f>
        <v>OK</v>
      </c>
      <c r="T81" s="5">
        <f>T19/T39</f>
        <v>0.234375</v>
      </c>
      <c r="U81" s="5" t="s">
        <v>1384</v>
      </c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">
      <c r="A82" s="563" t="str">
        <f>IF(B82&lt;1,"OK","ERROR")</f>
        <v>OK</v>
      </c>
      <c r="B82" s="5">
        <f>B29/B40</f>
        <v>0.75389613011342627</v>
      </c>
      <c r="C82" s="64" t="s">
        <v>1385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63" t="str">
        <f>IF(T82&lt;1,"OK","ERROR")</f>
        <v>OK</v>
      </c>
      <c r="T82" s="5">
        <f>T29/T39</f>
        <v>0.75389613011342616</v>
      </c>
      <c r="U82" s="5" t="s">
        <v>1385</v>
      </c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28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285"/>
      <c r="AE83" s="5"/>
      <c r="AF83" s="5"/>
      <c r="AG83" s="5"/>
      <c r="AH83" s="5"/>
      <c r="AI83" s="5"/>
      <c r="AJ83" s="5"/>
    </row>
    <row r="84" spans="1:3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332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332"/>
      <c r="AH85" s="5"/>
      <c r="AI85" s="5"/>
      <c r="AJ85" s="5"/>
    </row>
    <row r="86" spans="1:36" ht="18" customHeight="1" x14ac:dyDescent="0.25">
      <c r="A86" s="420" t="s">
        <v>1386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332"/>
      <c r="P86" s="5"/>
      <c r="Q86" s="5"/>
      <c r="R86" s="5"/>
      <c r="S86" s="420" t="s">
        <v>1386</v>
      </c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26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">
      <c r="A88" s="5"/>
      <c r="B88" s="64" t="s">
        <v>1387</v>
      </c>
      <c r="C88" s="5">
        <f>B14*0.015</f>
        <v>175.5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306"/>
      <c r="P88" s="5"/>
      <c r="Q88" s="5"/>
      <c r="R88" s="5"/>
      <c r="S88" s="5"/>
      <c r="T88" s="64" t="s">
        <v>1387</v>
      </c>
      <c r="U88" s="5">
        <f>T14*0.015</f>
        <v>6.909448818897638</v>
      </c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">
      <c r="A90" s="5"/>
      <c r="B90" s="366" t="s">
        <v>1388</v>
      </c>
      <c r="C90" s="5">
        <f>B29*COS((90-L37)*PI()/180)</f>
        <v>230.92266746795445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64" t="s">
        <v>1388</v>
      </c>
      <c r="U90" s="5">
        <f>C90/25.4</f>
        <v>9.0914436011005701</v>
      </c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">
      <c r="A92" s="5"/>
      <c r="B92" s="5"/>
      <c r="C92" s="265">
        <f>C90/C88</f>
        <v>1.3157986750310795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265">
        <f>U90/U88</f>
        <v>1.3157986750310797</v>
      </c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">
      <c r="A93" s="5"/>
      <c r="B93" s="5"/>
      <c r="C93" s="563" t="str">
        <f>IF(C92&gt;1,"OK","ERROR")</f>
        <v>OK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63" t="str">
        <f>IF(U92&gt;1,"OK","ERROR")</f>
        <v>OK</v>
      </c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ht="18" customHeight="1" x14ac:dyDescent="0.25">
      <c r="A95" s="420" t="s">
        <v>1389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420" t="s">
        <v>1390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">
      <c r="A97" s="5"/>
      <c r="B97" s="64" t="s">
        <v>1391</v>
      </c>
      <c r="C97" s="306">
        <f>(B18/COS(PI()/2-L37/180*PI()))/2+(B29*COS(L37/180*PI())-K33*COS(L37/180*PI()))/2</f>
        <v>67.679231045094511</v>
      </c>
      <c r="D97" s="5"/>
      <c r="E97" s="64"/>
      <c r="F97" s="64" t="s">
        <v>1392</v>
      </c>
      <c r="G97" s="5">
        <f>B29*COS(L37/180*PI())/2+(B18/COS(PI()/2-L37/180*PI()))/2</f>
        <v>94.818406302826475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226" t="str">
        <f t="shared" ref="T97:T103" si="2">F97</f>
        <v>ysc</v>
      </c>
      <c r="U97" s="265">
        <f>G97/25.4</f>
        <v>3.7330081221585227</v>
      </c>
      <c r="V97" s="64" t="s">
        <v>1393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">
      <c r="A98" s="5"/>
      <c r="B98" s="64" t="s">
        <v>1394</v>
      </c>
      <c r="C98" s="306">
        <f>-B28/2</f>
        <v>-91.782351244670124</v>
      </c>
      <c r="D98" s="5"/>
      <c r="E98" s="5"/>
      <c r="F98" s="64" t="s">
        <v>1395</v>
      </c>
      <c r="G98" s="5">
        <f>(B18/COS(PI()/2-L37/180*PI()))/2-K33*COS(L37/180*PI())/2-B16*SIN((90-L37)/180*PI())</f>
        <v>-24.442019815049861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226" t="str">
        <f t="shared" si="2"/>
        <v>yic</v>
      </c>
      <c r="U98" s="265">
        <f>G98/25.4</f>
        <v>-0.96228424468700247</v>
      </c>
      <c r="V98" s="64" t="s">
        <v>1396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">
      <c r="A99" s="5"/>
      <c r="B99" s="64" t="s">
        <v>1397</v>
      </c>
      <c r="C99" s="564">
        <f>B19*B18+B29*B18</f>
        <v>4553.9533675626681</v>
      </c>
      <c r="D99" s="5"/>
      <c r="E99" s="5"/>
      <c r="F99" s="64" t="s">
        <v>1398</v>
      </c>
      <c r="G99" s="306">
        <f>C98</f>
        <v>-91.782351244670124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226" t="str">
        <f t="shared" si="2"/>
        <v>ys</v>
      </c>
      <c r="U99" s="265">
        <f>G99/25.4</f>
        <v>-3.6134783954594538</v>
      </c>
      <c r="V99" s="64" t="s">
        <v>1399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">
      <c r="A100" s="5"/>
      <c r="B100" s="64" t="s">
        <v>1400</v>
      </c>
      <c r="C100" s="306">
        <f>B28*B16</f>
        <v>1468.517619914722</v>
      </c>
      <c r="D100" s="5"/>
      <c r="E100" s="5"/>
      <c r="F100" s="64" t="s">
        <v>1401</v>
      </c>
      <c r="G100" s="5">
        <f>B29*B18</f>
        <v>3473.9533675626681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226" t="str">
        <f t="shared" si="2"/>
        <v>Asc</v>
      </c>
      <c r="U100" s="265">
        <f>G100/(25.4*25.4)</f>
        <v>5.3846384889991139</v>
      </c>
      <c r="V100" s="64" t="s">
        <v>1402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">
      <c r="A101" s="5"/>
      <c r="B101" s="64" t="s">
        <v>1403</v>
      </c>
      <c r="C101" s="5">
        <f>(C97*C99+C98*C100)/(C99+C100)</f>
        <v>28.796163981937504</v>
      </c>
      <c r="D101" s="5"/>
      <c r="E101" s="5"/>
      <c r="F101" s="64" t="s">
        <v>1404</v>
      </c>
      <c r="G101" s="5">
        <f>B19*B18</f>
        <v>1080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226" t="str">
        <f t="shared" si="2"/>
        <v>Aic</v>
      </c>
      <c r="U101" s="265">
        <f>G101/(25.4*25.4)</f>
        <v>1.674003348006696</v>
      </c>
      <c r="V101" s="64" t="s">
        <v>1405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">
      <c r="A102" s="5"/>
      <c r="B102" s="64" t="s">
        <v>1406</v>
      </c>
      <c r="C102" s="5">
        <f>G104</f>
        <v>10</v>
      </c>
      <c r="D102" s="5"/>
      <c r="E102" s="5"/>
      <c r="F102" s="64" t="s">
        <v>1407</v>
      </c>
      <c r="G102" s="5">
        <f>B28*B16</f>
        <v>1468.517619914722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226" t="str">
        <f t="shared" si="2"/>
        <v>As</v>
      </c>
      <c r="U102" s="265">
        <f>G102/(25.4*25.4)</f>
        <v>2.276206863281546</v>
      </c>
      <c r="V102" s="64" t="s">
        <v>1408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">
      <c r="A103" s="5"/>
      <c r="B103" s="64" t="s">
        <v>1409</v>
      </c>
      <c r="C103" s="5">
        <f>ABS(C102*1.5/C101)</f>
        <v>0.52090271500776297</v>
      </c>
      <c r="D103" s="5"/>
      <c r="E103" s="5"/>
      <c r="F103" s="64" t="s">
        <v>1403</v>
      </c>
      <c r="G103" s="5">
        <f>(G97*G100+G98*G101+G99*G102)/(G100+G101+G102)</f>
        <v>27.93095073967876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226" t="str">
        <f t="shared" si="2"/>
        <v>Centroid Y</v>
      </c>
      <c r="U103" s="265">
        <f>G103/25.4</f>
        <v>1.0996437299086126</v>
      </c>
      <c r="V103" s="64" t="s">
        <v>1410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">
      <c r="A104" s="5"/>
      <c r="B104" s="5"/>
      <c r="C104" s="563" t="str">
        <f>IF(C103&gt;1,"OK","ERROR")</f>
        <v>ERROR</v>
      </c>
      <c r="D104" s="5"/>
      <c r="E104" s="5"/>
      <c r="F104" s="64" t="s">
        <v>1406</v>
      </c>
      <c r="G104" s="5">
        <f>(B16+B18)/2</f>
        <v>10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341" t="s">
        <v>1411</v>
      </c>
      <c r="U104" s="265">
        <f>G104*1.5/25.4</f>
        <v>0.59055118110236227</v>
      </c>
      <c r="V104" s="64" t="s">
        <v>1412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">
      <c r="A105" s="5"/>
      <c r="B105" s="5"/>
      <c r="C105" s="5"/>
      <c r="D105" s="5"/>
      <c r="E105" s="5"/>
      <c r="F105" s="64" t="s">
        <v>1409</v>
      </c>
      <c r="G105" s="5">
        <f>ABS(G104*1.5/G103)</f>
        <v>0.53703864719115957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226" t="str">
        <f>F105</f>
        <v>ratio</v>
      </c>
      <c r="U105" s="265">
        <f>ABS(U104/U103)</f>
        <v>0.53703864719115968</v>
      </c>
      <c r="V105" s="64" t="s">
        <v>1413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">
      <c r="A106" s="5"/>
      <c r="B106" s="5"/>
      <c r="C106" s="5"/>
      <c r="D106" s="5"/>
      <c r="E106" s="5"/>
      <c r="F106" s="5"/>
      <c r="G106" s="563" t="str">
        <f>IF(G105&gt;1,"OK","ERROR")</f>
        <v>ERROR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63" t="str">
        <f>IF(U105&gt;1,"OK","ERROR")</f>
        <v>ERROR</v>
      </c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</sheetData>
  <mergeCells count="64">
    <mergeCell ref="U79:AA80"/>
    <mergeCell ref="S58:U58"/>
    <mergeCell ref="V58:W58"/>
    <mergeCell ref="X58:Y58"/>
    <mergeCell ref="S59:U59"/>
    <mergeCell ref="V59:W59"/>
    <mergeCell ref="X59:Y59"/>
    <mergeCell ref="S7:AA9"/>
    <mergeCell ref="S55:U57"/>
    <mergeCell ref="V55:AA55"/>
    <mergeCell ref="V56:AA56"/>
    <mergeCell ref="V57:AA57"/>
    <mergeCell ref="AG4:AH4"/>
    <mergeCell ref="S5:U5"/>
    <mergeCell ref="V5:W5"/>
    <mergeCell ref="X5:Y5"/>
    <mergeCell ref="AB5:AD5"/>
    <mergeCell ref="AE5:AF5"/>
    <mergeCell ref="AG5:AH5"/>
    <mergeCell ref="S4:U4"/>
    <mergeCell ref="V4:W4"/>
    <mergeCell ref="X4:Y4"/>
    <mergeCell ref="AB4:AD4"/>
    <mergeCell ref="AE4:AF4"/>
    <mergeCell ref="S1:U3"/>
    <mergeCell ref="V1:AA1"/>
    <mergeCell ref="AB1:AD3"/>
    <mergeCell ref="AE1:AJ1"/>
    <mergeCell ref="V2:AA2"/>
    <mergeCell ref="AE2:AJ2"/>
    <mergeCell ref="V3:AA3"/>
    <mergeCell ref="AE3:AJ3"/>
    <mergeCell ref="A59:C59"/>
    <mergeCell ref="D59:E59"/>
    <mergeCell ref="F59:G59"/>
    <mergeCell ref="C79:I80"/>
    <mergeCell ref="A55:C57"/>
    <mergeCell ref="D55:I55"/>
    <mergeCell ref="D56:I56"/>
    <mergeCell ref="D57:I57"/>
    <mergeCell ref="A58:C58"/>
    <mergeCell ref="D58:E58"/>
    <mergeCell ref="F58:G58"/>
    <mergeCell ref="A5:C5"/>
    <mergeCell ref="D5:E5"/>
    <mergeCell ref="F5:G5"/>
    <mergeCell ref="J5:L5"/>
    <mergeCell ref="M5:N5"/>
    <mergeCell ref="A7:I9"/>
    <mergeCell ref="A1:C3"/>
    <mergeCell ref="D1:I1"/>
    <mergeCell ref="J1:L3"/>
    <mergeCell ref="M1:R1"/>
    <mergeCell ref="D2:I2"/>
    <mergeCell ref="M2:R2"/>
    <mergeCell ref="D3:I3"/>
    <mergeCell ref="M3:R3"/>
    <mergeCell ref="O5:P5"/>
    <mergeCell ref="A4:C4"/>
    <mergeCell ref="D4:E4"/>
    <mergeCell ref="F4:G4"/>
    <mergeCell ref="J4:L4"/>
    <mergeCell ref="M4:N4"/>
    <mergeCell ref="O4:P4"/>
  </mergeCells>
  <pageMargins left="0.74803149606299213" right="0.74803149606299213" top="0.98425196850393704" bottom="0.98425196850393704" header="0" footer="0"/>
  <pageSetup paperSize="9" scale="89" fitToHeight="0" orientation="portrait"/>
  <rowBreaks count="2" manualBreakCount="2">
    <brk id="54" max="8" man="1"/>
    <brk id="54" min="18" max="26" man="1"/>
  </rowBreaks>
  <colBreaks count="2" manualBreakCount="2">
    <brk id="27" max="1048575" man="1"/>
    <brk id="3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tabColor rgb="FF00B050"/>
    <pageSetUpPr fitToPage="1"/>
  </sheetPr>
  <dimension ref="A1:V127"/>
  <sheetViews>
    <sheetView topLeftCell="A4" workbookViewId="0">
      <selection activeCell="B26" sqref="B26"/>
    </sheetView>
    <sheetView tabSelected="1" topLeftCell="A96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12" bestFit="1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9" max="9" width="14.42578125" customWidth="1"/>
    <col min="10" max="10" width="7" customWidth="1"/>
    <col min="11" max="11" width="12.5703125" bestFit="1" customWidth="1"/>
    <col min="18" max="18" width="8.140625" customWidth="1"/>
  </cols>
  <sheetData>
    <row r="1" spans="1:22" ht="17.25" customHeight="1" thickTop="1" thickBot="1" x14ac:dyDescent="0.3">
      <c r="A1" s="822"/>
      <c r="B1" s="823"/>
      <c r="C1" s="824"/>
      <c r="D1" s="913" t="str">
        <f>'Front Page'!$A$13</f>
        <v>Mechanical  Calculations</v>
      </c>
      <c r="E1" s="842"/>
      <c r="F1" s="842"/>
      <c r="G1" s="842"/>
      <c r="H1" s="842"/>
      <c r="I1" s="843"/>
      <c r="J1" s="822"/>
      <c r="K1" s="823"/>
      <c r="L1" s="824"/>
      <c r="M1" s="913" t="str">
        <f>'Front Page'!$A$13</f>
        <v>Mechanical  Calculations</v>
      </c>
      <c r="N1" s="842"/>
      <c r="O1" s="842"/>
      <c r="P1" s="842"/>
      <c r="Q1" s="842"/>
      <c r="R1" s="843"/>
      <c r="S1" s="5"/>
      <c r="T1" s="5"/>
      <c r="U1" s="5"/>
      <c r="V1" s="5"/>
    </row>
    <row r="2" spans="1:22" ht="16.5" customHeight="1" thickBot="1" x14ac:dyDescent="0.3">
      <c r="A2" s="825"/>
      <c r="B2" s="809"/>
      <c r="C2" s="826"/>
      <c r="D2" s="839"/>
      <c r="E2" s="831"/>
      <c r="F2" s="831"/>
      <c r="G2" s="831"/>
      <c r="H2" s="831"/>
      <c r="I2" s="832"/>
      <c r="J2" s="825"/>
      <c r="K2" s="809"/>
      <c r="L2" s="826"/>
      <c r="M2" s="839"/>
      <c r="N2" s="831"/>
      <c r="O2" s="831"/>
      <c r="P2" s="831"/>
      <c r="Q2" s="831"/>
      <c r="R2" s="832"/>
      <c r="S2" s="5"/>
      <c r="T2" s="5"/>
      <c r="U2" s="5"/>
      <c r="V2" s="5"/>
    </row>
    <row r="3" spans="1:22" ht="16.5" customHeight="1" thickBot="1" x14ac:dyDescent="0.3">
      <c r="A3" s="827"/>
      <c r="B3" s="828"/>
      <c r="C3" s="829"/>
      <c r="D3" s="839" t="s">
        <v>1668</v>
      </c>
      <c r="E3" s="831"/>
      <c r="F3" s="831"/>
      <c r="G3" s="831"/>
      <c r="H3" s="831"/>
      <c r="I3" s="832"/>
      <c r="J3" s="827"/>
      <c r="K3" s="828"/>
      <c r="L3" s="829"/>
      <c r="M3" s="839" t="s">
        <v>1668</v>
      </c>
      <c r="N3" s="831"/>
      <c r="O3" s="831"/>
      <c r="P3" s="831"/>
      <c r="Q3" s="831"/>
      <c r="R3" s="832"/>
      <c r="S3" s="5"/>
      <c r="T3" s="5"/>
      <c r="U3" s="5"/>
      <c r="V3" s="5"/>
    </row>
    <row r="4" spans="1:22" ht="16.5" customHeight="1" thickTop="1" thickBot="1" x14ac:dyDescent="0.3">
      <c r="A4" s="830"/>
      <c r="B4" s="831"/>
      <c r="C4" s="832"/>
      <c r="D4" s="915" t="str">
        <f>'Front Page'!$D$4</f>
        <v>Doc Nº</v>
      </c>
      <c r="E4" s="832"/>
      <c r="F4" s="980"/>
      <c r="G4" s="843"/>
      <c r="H4" s="33"/>
      <c r="I4" s="544"/>
      <c r="J4" s="830"/>
      <c r="K4" s="831"/>
      <c r="L4" s="832"/>
      <c r="M4" s="915" t="str">
        <f>'Front Page'!$D$4</f>
        <v>Doc Nº</v>
      </c>
      <c r="N4" s="832"/>
      <c r="O4" s="980"/>
      <c r="P4" s="843"/>
      <c r="Q4" s="33"/>
      <c r="R4" s="544"/>
      <c r="S4" s="5"/>
      <c r="T4" s="5"/>
      <c r="U4" s="592" t="s">
        <v>1669</v>
      </c>
      <c r="V4" s="592" t="s">
        <v>1670</v>
      </c>
    </row>
    <row r="5" spans="1:22" ht="15.75" customHeight="1" thickBot="1" x14ac:dyDescent="0.3">
      <c r="A5" s="987"/>
      <c r="B5" s="834"/>
      <c r="C5" s="835"/>
      <c r="D5" s="914" t="str">
        <f>'Front Page'!$D$5</f>
        <v>Project</v>
      </c>
      <c r="E5" s="835"/>
      <c r="F5" s="899"/>
      <c r="G5" s="835"/>
      <c r="H5" s="131" t="s">
        <v>5</v>
      </c>
      <c r="I5" s="132"/>
      <c r="J5" s="987"/>
      <c r="K5" s="834"/>
      <c r="L5" s="835"/>
      <c r="M5" s="914" t="str">
        <f>'Front Page'!$D$5</f>
        <v>Project</v>
      </c>
      <c r="N5" s="835"/>
      <c r="O5" s="899"/>
      <c r="P5" s="835"/>
      <c r="Q5" s="131" t="s">
        <v>5</v>
      </c>
      <c r="R5" s="427"/>
      <c r="S5" s="5"/>
      <c r="T5" s="5"/>
      <c r="U5" s="5"/>
      <c r="V5" s="632" t="s">
        <v>1671</v>
      </c>
    </row>
    <row r="6" spans="1:22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</row>
    <row r="7" spans="1:22" ht="18" customHeight="1" x14ac:dyDescent="0.25">
      <c r="A7" s="134" t="s">
        <v>1672</v>
      </c>
      <c r="B7" s="5"/>
      <c r="C7" s="5"/>
      <c r="D7" s="5"/>
      <c r="E7" s="5"/>
      <c r="F7" s="5"/>
      <c r="G7" s="5"/>
      <c r="H7" s="5"/>
      <c r="I7" s="5"/>
      <c r="J7" s="134" t="s">
        <v>1672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632" t="s">
        <v>1673</v>
      </c>
    </row>
    <row r="8" spans="1:22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5.75" customHeight="1" x14ac:dyDescent="0.25">
      <c r="A9" s="102" t="s">
        <v>1426</v>
      </c>
      <c r="B9" s="5"/>
      <c r="C9" s="5"/>
      <c r="D9" s="5"/>
      <c r="E9" s="5"/>
      <c r="F9" s="5"/>
      <c r="G9" s="5"/>
      <c r="H9" s="5"/>
      <c r="I9" s="5"/>
      <c r="J9" s="102" t="s">
        <v>1426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32" t="s">
        <v>1674</v>
      </c>
    </row>
    <row r="11" spans="1:22" x14ac:dyDescent="0.2">
      <c r="A11" s="64" t="s">
        <v>265</v>
      </c>
      <c r="B11" s="389">
        <f>'Main Dimensions Calcs'!D38</f>
        <v>42</v>
      </c>
      <c r="C11" s="64" t="s">
        <v>1675</v>
      </c>
      <c r="D11" s="5"/>
      <c r="E11" s="5"/>
      <c r="F11" s="5"/>
      <c r="G11" s="5"/>
      <c r="H11" s="5"/>
      <c r="I11" s="5"/>
      <c r="J11" s="64" t="s">
        <v>265</v>
      </c>
      <c r="K11" s="265">
        <f>B11/25.4</f>
        <v>1.6535433070866143</v>
      </c>
      <c r="L11" s="64" t="s">
        <v>1676</v>
      </c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2">
      <c r="A12" s="5" t="s">
        <v>1221</v>
      </c>
      <c r="B12" s="633">
        <v>0</v>
      </c>
      <c r="C12" s="97" t="s">
        <v>1677</v>
      </c>
      <c r="D12" s="5"/>
      <c r="E12" s="5"/>
      <c r="F12" s="5"/>
      <c r="G12" s="5"/>
      <c r="H12" s="5"/>
      <c r="I12" s="5"/>
      <c r="J12" s="5" t="s">
        <v>1221</v>
      </c>
      <c r="K12" s="539">
        <f>B12/25.4</f>
        <v>0</v>
      </c>
      <c r="L12" s="97" t="s">
        <v>1678</v>
      </c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2">
      <c r="A13" s="5" t="s">
        <v>1427</v>
      </c>
      <c r="B13" s="389">
        <f>(B11-B12)^2*PI()/4</f>
        <v>1385.4423602330987</v>
      </c>
      <c r="C13" s="64" t="s">
        <v>1679</v>
      </c>
      <c r="D13" s="5"/>
      <c r="E13" s="5"/>
      <c r="F13" s="5"/>
      <c r="G13" s="5"/>
      <c r="H13" s="5"/>
      <c r="I13" s="5"/>
      <c r="J13" s="5" t="s">
        <v>1427</v>
      </c>
      <c r="K13" s="332">
        <f>B13/(25.4*25.4)</f>
        <v>2.1474399532412094</v>
      </c>
      <c r="L13" s="64" t="s">
        <v>1680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2">
      <c r="A14" s="5" t="s">
        <v>1090</v>
      </c>
      <c r="B14" s="389">
        <f>('Main Dimensions Calcs'!D32/1000)^2*PI()/4</f>
        <v>430.05261834990671</v>
      </c>
      <c r="C14" s="64" t="s">
        <v>1681</v>
      </c>
      <c r="D14" s="5"/>
      <c r="E14" s="5"/>
      <c r="F14" s="5"/>
      <c r="G14" s="5"/>
      <c r="H14" s="5"/>
      <c r="I14" s="5"/>
      <c r="J14" s="5" t="s">
        <v>1090</v>
      </c>
      <c r="K14" s="265">
        <f>B14/(25.4*25.4)*1000000</f>
        <v>666582.89160813869</v>
      </c>
      <c r="L14" s="64" t="s">
        <v>1682</v>
      </c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">
      <c r="A15" s="5" t="s">
        <v>197</v>
      </c>
      <c r="B15" s="389">
        <f>'Weight Calculations'!H161+'Weight Calculations'!H162+'Weight Calculations'!H163</f>
        <v>104003.89400595652</v>
      </c>
      <c r="C15" s="5" t="s">
        <v>1683</v>
      </c>
      <c r="D15" s="5"/>
      <c r="E15" s="5"/>
      <c r="F15" s="5"/>
      <c r="G15" s="5"/>
      <c r="H15" s="5"/>
      <c r="I15" s="5"/>
      <c r="J15" s="5" t="s">
        <v>197</v>
      </c>
      <c r="K15" s="265">
        <f>B15*2.205</f>
        <v>229328.58628313415</v>
      </c>
      <c r="L15" s="64" t="s">
        <v>1684</v>
      </c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x14ac:dyDescent="0.2">
      <c r="A16" s="5" t="s">
        <v>1119</v>
      </c>
      <c r="B16" s="389">
        <f>'Design Conditions'!J13</f>
        <v>5.5899999999999998E-2</v>
      </c>
      <c r="C16" s="5" t="s">
        <v>1434</v>
      </c>
      <c r="D16" s="5"/>
      <c r="E16" s="5"/>
      <c r="F16" s="5"/>
      <c r="G16" s="5"/>
      <c r="H16" s="5"/>
      <c r="I16" s="5"/>
      <c r="J16" s="5" t="s">
        <v>1119</v>
      </c>
      <c r="K16" s="332">
        <f>B16*14.5</f>
        <v>0.81054999999999999</v>
      </c>
      <c r="L16" s="64" t="s">
        <v>1420</v>
      </c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2">
      <c r="A17" s="5" t="s">
        <v>1435</v>
      </c>
      <c r="B17" s="447">
        <f>'Design Conditions'!J25</f>
        <v>0.01</v>
      </c>
      <c r="C17" s="5" t="s">
        <v>1436</v>
      </c>
      <c r="D17" s="5"/>
      <c r="E17" s="5"/>
      <c r="F17" s="5"/>
      <c r="G17" s="5"/>
      <c r="H17" s="5"/>
      <c r="I17" s="5"/>
      <c r="J17" s="5" t="s">
        <v>1435</v>
      </c>
      <c r="K17" s="332">
        <f>B17*14.5</f>
        <v>0.14499999999999999</v>
      </c>
      <c r="L17" s="64" t="s">
        <v>1437</v>
      </c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">
      <c r="A18" s="5" t="s">
        <v>898</v>
      </c>
      <c r="B18" s="389">
        <f>'Allowable Stresses'!G17</f>
        <v>104.8</v>
      </c>
      <c r="C18" s="5" t="s">
        <v>1438</v>
      </c>
      <c r="D18" s="5"/>
      <c r="E18" s="5"/>
      <c r="F18" s="5"/>
      <c r="G18" s="5"/>
      <c r="H18" s="5"/>
      <c r="I18" s="5"/>
      <c r="J18" s="5" t="s">
        <v>898</v>
      </c>
      <c r="K18" s="265">
        <f>B18*145.04</f>
        <v>15200.191999999999</v>
      </c>
      <c r="L18" s="64" t="s">
        <v>1439</v>
      </c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">
      <c r="A19" s="5" t="s">
        <v>1440</v>
      </c>
      <c r="B19" s="389">
        <f>'Main Dimensions Calcs'!D37</f>
        <v>32</v>
      </c>
      <c r="C19" s="5" t="s">
        <v>1685</v>
      </c>
      <c r="D19" s="5"/>
      <c r="E19" s="5"/>
      <c r="F19" s="5"/>
      <c r="G19" s="5"/>
      <c r="H19" s="5"/>
      <c r="I19" s="5"/>
      <c r="J19" s="5" t="s">
        <v>1440</v>
      </c>
      <c r="K19" s="263">
        <f>B19</f>
        <v>32</v>
      </c>
      <c r="L19" s="5" t="s">
        <v>1685</v>
      </c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">
      <c r="A20" s="5" t="s">
        <v>1686</v>
      </c>
      <c r="B20" s="344">
        <f>+'Wind Forces'!F144*1000</f>
        <v>4569677.8263768749</v>
      </c>
      <c r="C20" s="5" t="s">
        <v>1687</v>
      </c>
      <c r="D20" s="5"/>
      <c r="E20" s="5"/>
      <c r="F20" s="5"/>
      <c r="G20" s="5"/>
      <c r="H20" s="5"/>
      <c r="I20" s="5"/>
      <c r="J20" s="5" t="s">
        <v>1686</v>
      </c>
      <c r="K20" s="346">
        <f>+'Wind Forces'!N144</f>
        <v>3370411.5776225273</v>
      </c>
      <c r="L20" s="5" t="s">
        <v>1688</v>
      </c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">
      <c r="A21" s="266" t="s">
        <v>1689</v>
      </c>
      <c r="B21" s="456">
        <f>+'Earthquake API 650 Outer Tank'!B98</f>
        <v>6172149.9329224946</v>
      </c>
      <c r="C21" s="266" t="s">
        <v>1690</v>
      </c>
      <c r="D21" s="266"/>
      <c r="E21" s="266"/>
      <c r="F21" s="266"/>
      <c r="G21" s="266"/>
      <c r="H21" s="5"/>
      <c r="I21" s="5"/>
      <c r="J21" s="64" t="s">
        <v>1689</v>
      </c>
      <c r="K21" s="346">
        <f>+'Earthquake API 650 Outer Tank'!J98</f>
        <v>4551960.57553034</v>
      </c>
      <c r="L21" s="64" t="s">
        <v>1691</v>
      </c>
      <c r="M21" s="64"/>
      <c r="N21" s="64"/>
      <c r="O21" s="64"/>
      <c r="P21" s="266"/>
      <c r="Q21" s="5"/>
      <c r="R21" s="5"/>
      <c r="S21" s="5"/>
      <c r="T21" s="5"/>
      <c r="U21" s="5"/>
      <c r="V21" s="5"/>
    </row>
    <row r="22" spans="1:22" x14ac:dyDescent="0.2">
      <c r="A22" s="266"/>
      <c r="B22" s="456"/>
      <c r="C22" s="266" t="str">
        <f>+IF(B20&gt;B21,"considered wind moment for anchors calculation","considered seismic moment for anchors calculation")</f>
        <v>considered seismic moment for anchors calculation</v>
      </c>
      <c r="D22" s="266"/>
      <c r="E22" s="266"/>
      <c r="F22" s="266"/>
      <c r="G22" s="266"/>
      <c r="H22" s="5"/>
      <c r="I22" s="5"/>
      <c r="J22" s="64"/>
      <c r="K22" s="346"/>
      <c r="L22" s="64" t="str">
        <f>+IF(B20&gt;B21,"considered wind moment for anchors calculation","considered seismic moment for anchors calculation")</f>
        <v>considered seismic moment for anchors calculation</v>
      </c>
      <c r="M22" s="64"/>
      <c r="N22" s="64"/>
      <c r="O22" s="64"/>
      <c r="P22" s="266"/>
      <c r="Q22" s="5"/>
      <c r="R22" s="5"/>
      <c r="S22" s="5"/>
      <c r="T22" s="5"/>
      <c r="U22" s="5"/>
      <c r="V22" s="5"/>
    </row>
    <row r="23" spans="1:22" x14ac:dyDescent="0.2">
      <c r="A23" s="266"/>
      <c r="B23" s="456"/>
      <c r="C23" s="266"/>
      <c r="D23" s="266"/>
      <c r="E23" s="266"/>
      <c r="F23" s="266"/>
      <c r="G23" s="266"/>
      <c r="H23" s="5"/>
      <c r="I23" s="5"/>
      <c r="J23" s="266"/>
      <c r="K23" s="456"/>
      <c r="L23" s="266"/>
      <c r="M23" s="266"/>
      <c r="N23" s="266"/>
      <c r="O23" s="266"/>
      <c r="P23" s="266"/>
      <c r="Q23" s="5"/>
      <c r="R23" s="5"/>
      <c r="S23" s="5"/>
      <c r="T23" s="5"/>
      <c r="U23" s="5"/>
      <c r="V23" s="5"/>
    </row>
    <row r="24" spans="1:22" ht="15.75" customHeight="1" x14ac:dyDescent="0.25">
      <c r="A24" s="102" t="s">
        <v>1448</v>
      </c>
      <c r="B24" s="5"/>
      <c r="C24" s="5"/>
      <c r="D24" s="5"/>
      <c r="E24" s="5"/>
      <c r="F24" s="5"/>
      <c r="G24" s="5"/>
      <c r="H24" s="5"/>
      <c r="I24" s="5"/>
      <c r="J24" s="102" t="s">
        <v>1448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">
      <c r="A26" s="5" t="s">
        <v>1449</v>
      </c>
      <c r="B26" s="266">
        <f>$B$14*$B$16*100000</f>
        <v>2403994.1365759782</v>
      </c>
      <c r="C26" s="901" t="s">
        <v>1692</v>
      </c>
      <c r="D26" s="809"/>
      <c r="E26" s="809"/>
      <c r="F26" s="809"/>
      <c r="G26" s="809"/>
      <c r="H26" s="809"/>
      <c r="I26" s="809"/>
      <c r="J26" s="5" t="s">
        <v>1449</v>
      </c>
      <c r="K26" s="634">
        <f>B26*0.225</f>
        <v>540898.68072959513</v>
      </c>
      <c r="L26" s="898" t="s">
        <v>1693</v>
      </c>
      <c r="M26" s="809"/>
      <c r="N26" s="809"/>
      <c r="O26" s="809"/>
      <c r="P26" s="809"/>
      <c r="Q26" s="809"/>
      <c r="R26" s="809"/>
      <c r="S26" s="5"/>
      <c r="T26" s="5"/>
      <c r="U26" s="5"/>
      <c r="V26" s="5"/>
    </row>
    <row r="27" spans="1:22" x14ac:dyDescent="0.2">
      <c r="A27" s="5"/>
      <c r="B27" s="5"/>
      <c r="C27" s="809"/>
      <c r="D27" s="809"/>
      <c r="E27" s="809"/>
      <c r="F27" s="809"/>
      <c r="G27" s="809"/>
      <c r="H27" s="809"/>
      <c r="I27" s="809"/>
      <c r="J27" s="5"/>
      <c r="K27" s="64"/>
      <c r="L27" s="809"/>
      <c r="M27" s="809"/>
      <c r="N27" s="809"/>
      <c r="O27" s="809"/>
      <c r="P27" s="809"/>
      <c r="Q27" s="809"/>
      <c r="R27" s="809"/>
      <c r="S27" s="5"/>
      <c r="T27" s="5"/>
      <c r="U27" s="5"/>
      <c r="V27" s="5"/>
    </row>
    <row r="28" spans="1:22" x14ac:dyDescent="0.2">
      <c r="A28" s="5"/>
      <c r="B28" s="5"/>
      <c r="C28" s="5" t="s">
        <v>1452</v>
      </c>
      <c r="D28" s="5"/>
      <c r="E28" s="5"/>
      <c r="F28" s="5"/>
      <c r="G28" s="5"/>
      <c r="H28" s="5"/>
      <c r="I28" s="5"/>
      <c r="J28" s="5"/>
      <c r="K28" s="64"/>
      <c r="L28" s="5" t="s">
        <v>1452</v>
      </c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">
      <c r="A29" s="5" t="s">
        <v>1694</v>
      </c>
      <c r="B29" s="266">
        <f>$B$20*4/('Main Dimensions Calcs'!$D$32/1000)</f>
        <v>781141.50878237188</v>
      </c>
      <c r="C29" s="5" t="s">
        <v>1695</v>
      </c>
      <c r="D29" s="5"/>
      <c r="E29" s="5"/>
      <c r="F29" s="5"/>
      <c r="G29" s="5"/>
      <c r="H29" s="5"/>
      <c r="I29" s="5"/>
      <c r="J29" s="5" t="s">
        <v>1694</v>
      </c>
      <c r="K29" s="634">
        <f>B29*0.225</f>
        <v>175756.83947603367</v>
      </c>
      <c r="L29" s="64" t="s">
        <v>1696</v>
      </c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">
      <c r="A30" s="5"/>
      <c r="B30" s="5"/>
      <c r="C30" s="5" t="s">
        <v>1697</v>
      </c>
      <c r="D30" s="5"/>
      <c r="E30" s="5"/>
      <c r="F30" s="5"/>
      <c r="G30" s="5"/>
      <c r="H30" s="5"/>
      <c r="I30" s="5"/>
      <c r="J30" s="5"/>
      <c r="K30" s="64"/>
      <c r="L30" s="5" t="s">
        <v>1697</v>
      </c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6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">
      <c r="A32" s="5" t="s">
        <v>1698</v>
      </c>
      <c r="B32" s="266">
        <f>+B14*'Wind Forces'!B128</f>
        <v>780159.70672199398</v>
      </c>
      <c r="C32" s="5" t="s">
        <v>1699</v>
      </c>
      <c r="D32" s="5"/>
      <c r="E32" s="5"/>
      <c r="F32" s="5"/>
      <c r="G32" s="5"/>
      <c r="H32" s="5"/>
      <c r="I32" s="5"/>
      <c r="J32" s="5" t="s">
        <v>1698</v>
      </c>
      <c r="K32" s="634">
        <f>B32*0.225</f>
        <v>175535.93401244865</v>
      </c>
      <c r="L32" s="64" t="s">
        <v>1700</v>
      </c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">
      <c r="A33" s="5"/>
      <c r="B33" s="5"/>
      <c r="C33" s="5" t="s">
        <v>1701</v>
      </c>
      <c r="D33" s="5"/>
      <c r="E33" s="5"/>
      <c r="F33" s="5"/>
      <c r="G33" s="5"/>
      <c r="H33" s="5"/>
      <c r="I33" s="5"/>
      <c r="J33" s="5"/>
      <c r="K33" s="5"/>
      <c r="L33" s="5" t="s">
        <v>1701</v>
      </c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x14ac:dyDescent="0.2">
      <c r="A36" s="5" t="s">
        <v>1453</v>
      </c>
      <c r="B36" s="5">
        <f>B26+B29+B32-B15*9.8</f>
        <v>2946057.1908219703</v>
      </c>
      <c r="C36" s="5" t="s">
        <v>1702</v>
      </c>
      <c r="D36" s="5"/>
      <c r="E36" s="5"/>
      <c r="F36" s="5"/>
      <c r="G36" s="5"/>
      <c r="H36" s="5"/>
      <c r="I36" s="5"/>
      <c r="J36" s="5" t="s">
        <v>1453</v>
      </c>
      <c r="K36" s="635">
        <f>B36*0.225</f>
        <v>662862.86793494329</v>
      </c>
      <c r="L36" s="64" t="s">
        <v>1703</v>
      </c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2">
      <c r="A37" s="5"/>
      <c r="B37" s="5"/>
      <c r="C37" s="5" t="s">
        <v>1704</v>
      </c>
      <c r="D37" s="5"/>
      <c r="E37" s="5"/>
      <c r="F37" s="5"/>
      <c r="G37" s="5"/>
      <c r="H37" s="5"/>
      <c r="I37" s="5"/>
      <c r="J37" s="5"/>
      <c r="K37" s="5"/>
      <c r="L37" s="5" t="s">
        <v>1704</v>
      </c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2">
      <c r="A39" s="5" t="s">
        <v>1457</v>
      </c>
      <c r="B39" s="265">
        <f>B36/($B$19*$B$13)</f>
        <v>66.451185452202353</v>
      </c>
      <c r="C39" s="64" t="s">
        <v>1705</v>
      </c>
      <c r="D39" s="5"/>
      <c r="E39" s="5"/>
      <c r="F39" s="5"/>
      <c r="G39" s="5"/>
      <c r="H39" s="5"/>
      <c r="I39" s="5"/>
      <c r="J39" s="5" t="s">
        <v>1457</v>
      </c>
      <c r="K39" s="636">
        <f>B39*145.04</f>
        <v>9638.0799379874279</v>
      </c>
      <c r="L39" s="64" t="s">
        <v>1706</v>
      </c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x14ac:dyDescent="0.2">
      <c r="A40" s="5"/>
      <c r="B40" s="265"/>
      <c r="C40" s="5"/>
      <c r="D40" s="5" t="s">
        <v>1460</v>
      </c>
      <c r="E40" s="5"/>
      <c r="F40" s="5"/>
      <c r="G40" s="5"/>
      <c r="H40" s="5"/>
      <c r="I40" s="5"/>
      <c r="J40" s="5"/>
      <c r="K40" s="265"/>
      <c r="L40" s="5"/>
      <c r="M40" s="5" t="s">
        <v>1460</v>
      </c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2">
      <c r="A41" s="5"/>
      <c r="B41" s="570">
        <f>B18/$B$39</f>
        <v>1.5770975233448852</v>
      </c>
      <c r="C41" s="563" t="str">
        <f>IF(B41&gt;1,"OK","ERROR")</f>
        <v>OK</v>
      </c>
      <c r="D41" s="5"/>
      <c r="E41" s="5"/>
      <c r="F41" s="5"/>
      <c r="G41" s="5"/>
      <c r="H41" s="5"/>
      <c r="I41" s="5"/>
      <c r="J41" s="5"/>
      <c r="K41" s="570">
        <f>K18/$K$39</f>
        <v>1.5770975233448854</v>
      </c>
      <c r="L41" s="563" t="str">
        <f>IF(K41&gt;1,"OK","ERROR")</f>
        <v>OK</v>
      </c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5.75" customHeight="1" x14ac:dyDescent="0.25">
      <c r="A43" s="102" t="s">
        <v>1707</v>
      </c>
      <c r="B43" s="5"/>
      <c r="C43" s="5"/>
      <c r="D43" s="5"/>
      <c r="E43" s="5"/>
      <c r="F43" s="5"/>
      <c r="G43" s="5"/>
      <c r="H43" s="5"/>
      <c r="I43" s="5"/>
      <c r="J43" s="102" t="s">
        <v>1708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2.75" customHeight="1" x14ac:dyDescent="0.25">
      <c r="A44" s="102"/>
      <c r="B44" s="5"/>
      <c r="C44" s="5"/>
      <c r="D44" s="5"/>
      <c r="E44" s="5"/>
      <c r="F44" s="5"/>
      <c r="G44" s="5"/>
      <c r="H44" s="5"/>
      <c r="I44" s="5"/>
      <c r="J44" s="10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x14ac:dyDescent="0.2">
      <c r="A45" s="64" t="s">
        <v>1709</v>
      </c>
      <c r="B45" s="433">
        <v>220</v>
      </c>
      <c r="C45" s="64" t="s">
        <v>1710</v>
      </c>
      <c r="D45" s="5"/>
      <c r="E45" s="5"/>
      <c r="F45" s="5"/>
      <c r="G45" s="5"/>
      <c r="H45" s="5"/>
      <c r="I45" s="5"/>
      <c r="J45" s="64" t="s">
        <v>1709</v>
      </c>
      <c r="K45" s="346">
        <f>B45/25.4</f>
        <v>8.6614173228346463</v>
      </c>
      <c r="L45" s="64" t="s">
        <v>1711</v>
      </c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2">
      <c r="A46" s="64" t="s">
        <v>1712</v>
      </c>
      <c r="B46" s="5">
        <f>'Main Dimensions Calcs'!H25</f>
        <v>6</v>
      </c>
      <c r="C46" s="64" t="s">
        <v>1713</v>
      </c>
      <c r="D46" s="5"/>
      <c r="E46" s="5"/>
      <c r="F46" s="5"/>
      <c r="G46" s="5"/>
      <c r="H46" s="5"/>
      <c r="I46" s="5"/>
      <c r="J46" s="64" t="s">
        <v>1712</v>
      </c>
      <c r="K46" s="265">
        <f>B46/25.4</f>
        <v>0.23622047244094491</v>
      </c>
      <c r="L46" s="64" t="s">
        <v>1714</v>
      </c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2">
      <c r="A47" s="64" t="s">
        <v>1407</v>
      </c>
      <c r="B47" s="5">
        <f>B46*B45</f>
        <v>1320</v>
      </c>
      <c r="C47" s="64" t="s">
        <v>1715</v>
      </c>
      <c r="D47" s="5"/>
      <c r="E47" s="5"/>
      <c r="F47" s="5"/>
      <c r="G47" s="5"/>
      <c r="H47" s="5"/>
      <c r="I47" s="5"/>
      <c r="J47" s="64" t="s">
        <v>1407</v>
      </c>
      <c r="K47" s="265">
        <f>K46*K45</f>
        <v>2.0460040920081846</v>
      </c>
      <c r="L47" s="64" t="s">
        <v>1716</v>
      </c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x14ac:dyDescent="0.2">
      <c r="A48" s="64" t="s">
        <v>898</v>
      </c>
      <c r="B48" s="5">
        <f>B18</f>
        <v>104.8</v>
      </c>
      <c r="C48" s="5" t="s">
        <v>1438</v>
      </c>
      <c r="D48" s="5"/>
      <c r="E48" s="5"/>
      <c r="F48" s="5"/>
      <c r="G48" s="5"/>
      <c r="H48" s="5"/>
      <c r="I48" s="5"/>
      <c r="J48" s="64" t="s">
        <v>898</v>
      </c>
      <c r="K48" s="265">
        <f>B48*145.4</f>
        <v>15237.92</v>
      </c>
      <c r="L48" s="64" t="s">
        <v>1439</v>
      </c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2">
      <c r="A49" s="64" t="s">
        <v>1604</v>
      </c>
      <c r="B49" s="5">
        <f>B36/(B47*$B$19)</f>
        <v>69.745672131201943</v>
      </c>
      <c r="C49" s="64" t="s">
        <v>1717</v>
      </c>
      <c r="D49" s="5"/>
      <c r="E49" s="5"/>
      <c r="F49" s="5"/>
      <c r="G49" s="5"/>
      <c r="H49" s="5"/>
      <c r="I49" s="5"/>
      <c r="J49" s="64" t="s">
        <v>1604</v>
      </c>
      <c r="K49" s="265">
        <f>B49*145.4</f>
        <v>10141.020727876763</v>
      </c>
      <c r="L49" s="64" t="s">
        <v>1718</v>
      </c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x14ac:dyDescent="0.2">
      <c r="A51" s="5"/>
      <c r="B51" s="570">
        <f>B48/$B$49</f>
        <v>1.5026021944824859</v>
      </c>
      <c r="C51" s="563" t="str">
        <f>IF(B51&gt;1,"OK","ERROR")</f>
        <v>OK</v>
      </c>
      <c r="D51" s="5"/>
      <c r="E51" s="5"/>
      <c r="F51" s="5"/>
      <c r="G51" s="5"/>
      <c r="H51" s="5"/>
      <c r="I51" s="5"/>
      <c r="J51" s="5"/>
      <c r="K51" s="570">
        <f>K48/$K$49</f>
        <v>1.5026021944824859</v>
      </c>
      <c r="L51" s="563" t="str">
        <f>IF(K51&gt;1,"OK","ERROR")</f>
        <v>OK</v>
      </c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3.5" customHeight="1" thickBo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7.25" customHeight="1" thickTop="1" thickBot="1" x14ac:dyDescent="0.3">
      <c r="A55" s="822"/>
      <c r="B55" s="823"/>
      <c r="C55" s="824"/>
      <c r="D55" s="913" t="str">
        <f>'Front Page'!$A$13</f>
        <v>Mechanical  Calculations</v>
      </c>
      <c r="E55" s="842"/>
      <c r="F55" s="842"/>
      <c r="G55" s="842"/>
      <c r="H55" s="842"/>
      <c r="I55" s="843"/>
      <c r="J55" s="822"/>
      <c r="K55" s="823"/>
      <c r="L55" s="824"/>
      <c r="M55" s="913" t="str">
        <f>'Front Page'!$A$13</f>
        <v>Mechanical  Calculations</v>
      </c>
      <c r="N55" s="842"/>
      <c r="O55" s="842"/>
      <c r="P55" s="842"/>
      <c r="Q55" s="842"/>
      <c r="R55" s="843"/>
      <c r="S55" s="5"/>
      <c r="T55" s="5"/>
      <c r="U55" s="5"/>
      <c r="V55" s="5"/>
    </row>
    <row r="56" spans="1:22" ht="16.5" customHeight="1" thickBot="1" x14ac:dyDescent="0.3">
      <c r="A56" s="825"/>
      <c r="B56" s="809"/>
      <c r="C56" s="826"/>
      <c r="D56" s="839"/>
      <c r="E56" s="831"/>
      <c r="F56" s="831"/>
      <c r="G56" s="831"/>
      <c r="H56" s="831"/>
      <c r="I56" s="832"/>
      <c r="J56" s="825"/>
      <c r="K56" s="809"/>
      <c r="L56" s="826"/>
      <c r="M56" s="839"/>
      <c r="N56" s="831"/>
      <c r="O56" s="831"/>
      <c r="P56" s="831"/>
      <c r="Q56" s="831"/>
      <c r="R56" s="832"/>
      <c r="S56" s="5"/>
      <c r="T56" s="5"/>
      <c r="U56" s="5"/>
      <c r="V56" s="5"/>
    </row>
    <row r="57" spans="1:22" ht="16.5" customHeight="1" thickBot="1" x14ac:dyDescent="0.3">
      <c r="A57" s="827"/>
      <c r="B57" s="828"/>
      <c r="C57" s="829"/>
      <c r="D57" s="839" t="s">
        <v>1668</v>
      </c>
      <c r="E57" s="831"/>
      <c r="F57" s="831"/>
      <c r="G57" s="831"/>
      <c r="H57" s="831"/>
      <c r="I57" s="832"/>
      <c r="J57" s="827"/>
      <c r="K57" s="828"/>
      <c r="L57" s="829"/>
      <c r="M57" s="839" t="s">
        <v>1668</v>
      </c>
      <c r="N57" s="831"/>
      <c r="O57" s="831"/>
      <c r="P57" s="831"/>
      <c r="Q57" s="831"/>
      <c r="R57" s="832"/>
      <c r="S57" s="5"/>
      <c r="T57" s="5"/>
      <c r="U57" s="5"/>
      <c r="V57" s="5"/>
    </row>
    <row r="58" spans="1:22" ht="15.75" customHeight="1" thickBot="1" x14ac:dyDescent="0.3">
      <c r="A58" s="830"/>
      <c r="B58" s="831"/>
      <c r="C58" s="832"/>
      <c r="D58" s="915" t="str">
        <f>'Front Page'!$D$4</f>
        <v>Doc Nº</v>
      </c>
      <c r="E58" s="832"/>
      <c r="F58" s="846"/>
      <c r="G58" s="832"/>
      <c r="H58" s="33"/>
      <c r="I58" s="544"/>
      <c r="J58" s="830"/>
      <c r="K58" s="831"/>
      <c r="L58" s="832"/>
      <c r="M58" s="915" t="str">
        <f>'Front Page'!$D$4</f>
        <v>Doc Nº</v>
      </c>
      <c r="N58" s="832"/>
      <c r="O58" s="846"/>
      <c r="P58" s="832"/>
      <c r="Q58" s="33"/>
      <c r="R58" s="544"/>
      <c r="S58" s="5"/>
      <c r="T58" s="5"/>
      <c r="U58" s="5"/>
      <c r="V58" s="5"/>
    </row>
    <row r="59" spans="1:22" ht="15.75" customHeight="1" thickBot="1" x14ac:dyDescent="0.3">
      <c r="A59" s="987"/>
      <c r="B59" s="834"/>
      <c r="C59" s="835"/>
      <c r="D59" s="914" t="str">
        <f>'Front Page'!$D$5</f>
        <v>Project</v>
      </c>
      <c r="E59" s="835"/>
      <c r="F59" s="899"/>
      <c r="G59" s="835"/>
      <c r="H59" s="131" t="s">
        <v>5</v>
      </c>
      <c r="I59" s="132"/>
      <c r="J59" s="987"/>
      <c r="K59" s="834"/>
      <c r="L59" s="835"/>
      <c r="M59" s="914" t="str">
        <f>'Front Page'!$D$5</f>
        <v>Project</v>
      </c>
      <c r="N59" s="835"/>
      <c r="O59" s="899"/>
      <c r="P59" s="835"/>
      <c r="Q59" s="131" t="s">
        <v>5</v>
      </c>
      <c r="R59" s="427"/>
      <c r="S59" s="5"/>
      <c r="T59" s="5"/>
      <c r="U59" s="5"/>
      <c r="V59" s="5"/>
    </row>
    <row r="60" spans="1:22" ht="13.5" customHeight="1" thickTop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5"/>
      <c r="T60" s="5"/>
      <c r="U60" s="5"/>
      <c r="V60" s="5"/>
    </row>
    <row r="61" spans="1:2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5.75" customHeight="1" x14ac:dyDescent="0.25">
      <c r="A63" s="102" t="s">
        <v>1472</v>
      </c>
      <c r="B63" s="5"/>
      <c r="C63" s="5"/>
      <c r="D63" s="5"/>
      <c r="E63" s="5"/>
      <c r="F63" s="5"/>
      <c r="G63" s="5"/>
      <c r="H63" s="5"/>
      <c r="I63" s="5"/>
      <c r="J63" s="102" t="s">
        <v>1472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x14ac:dyDescent="0.2">
      <c r="A65" s="5" t="s">
        <v>1449</v>
      </c>
      <c r="B65" s="5">
        <f>$B$14*$B$17*100000</f>
        <v>430052.6183499067</v>
      </c>
      <c r="C65" s="901" t="s">
        <v>1450</v>
      </c>
      <c r="D65" s="809"/>
      <c r="E65" s="809"/>
      <c r="F65" s="809"/>
      <c r="G65" s="809"/>
      <c r="H65" s="809"/>
      <c r="I65" s="809"/>
      <c r="J65" s="5" t="s">
        <v>1449</v>
      </c>
      <c r="K65" s="5">
        <f>B65*0.225</f>
        <v>96761.839128729014</v>
      </c>
      <c r="L65" s="901" t="s">
        <v>1451</v>
      </c>
      <c r="M65" s="809"/>
      <c r="N65" s="809"/>
      <c r="O65" s="809"/>
      <c r="P65" s="809"/>
      <c r="Q65" s="809"/>
      <c r="R65" s="809"/>
      <c r="S65" s="5"/>
      <c r="T65" s="5"/>
      <c r="U65" s="5"/>
      <c r="V65" s="5"/>
    </row>
    <row r="66" spans="1:22" x14ac:dyDescent="0.2">
      <c r="A66" s="5"/>
      <c r="B66" s="5" t="s">
        <v>1452</v>
      </c>
      <c r="C66" s="809"/>
      <c r="D66" s="809"/>
      <c r="E66" s="809"/>
      <c r="F66" s="809"/>
      <c r="G66" s="809"/>
      <c r="H66" s="809"/>
      <c r="I66" s="809"/>
      <c r="J66" s="5"/>
      <c r="K66" s="5" t="s">
        <v>1452</v>
      </c>
      <c r="L66" s="809"/>
      <c r="M66" s="809"/>
      <c r="N66" s="809"/>
      <c r="O66" s="809"/>
      <c r="P66" s="809"/>
      <c r="Q66" s="809"/>
      <c r="R66" s="809"/>
      <c r="S66" s="5"/>
      <c r="T66" s="5"/>
      <c r="U66" s="5"/>
      <c r="V66" s="5"/>
    </row>
    <row r="67" spans="1:22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x14ac:dyDescent="0.2">
      <c r="A68" s="5" t="s">
        <v>1694</v>
      </c>
      <c r="B68" s="5">
        <f>+B29</f>
        <v>781141.50878237188</v>
      </c>
      <c r="C68" s="5" t="s">
        <v>1695</v>
      </c>
      <c r="D68" s="5"/>
      <c r="E68" s="5"/>
      <c r="F68" s="5"/>
      <c r="G68" s="5"/>
      <c r="H68" s="5"/>
      <c r="I68" s="5"/>
      <c r="J68" s="5" t="s">
        <v>1694</v>
      </c>
      <c r="K68" s="5">
        <f>B68*0.225</f>
        <v>175756.83947603367</v>
      </c>
      <c r="L68" s="64" t="s">
        <v>1696</v>
      </c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x14ac:dyDescent="0.2">
      <c r="A69" s="5"/>
      <c r="B69" s="5"/>
      <c r="C69" s="5" t="s">
        <v>1719</v>
      </c>
      <c r="D69" s="5"/>
      <c r="E69" s="5"/>
      <c r="F69" s="5"/>
      <c r="G69" s="5"/>
      <c r="H69" s="5"/>
      <c r="I69" s="5"/>
      <c r="J69" s="5"/>
      <c r="K69" s="5"/>
      <c r="L69" s="5" t="s">
        <v>1719</v>
      </c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x14ac:dyDescent="0.2">
      <c r="A71" s="5" t="s">
        <v>1698</v>
      </c>
      <c r="B71" s="5">
        <f>+B32</f>
        <v>780159.70672199398</v>
      </c>
      <c r="C71" s="5" t="s">
        <v>1699</v>
      </c>
      <c r="D71" s="5"/>
      <c r="E71" s="5"/>
      <c r="F71" s="5"/>
      <c r="G71" s="5"/>
      <c r="H71" s="5"/>
      <c r="I71" s="5"/>
      <c r="J71" s="5" t="s">
        <v>1698</v>
      </c>
      <c r="K71" s="5">
        <f>B71*0.225</f>
        <v>175535.93401244865</v>
      </c>
      <c r="L71" s="64" t="s">
        <v>1700</v>
      </c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x14ac:dyDescent="0.2">
      <c r="A72" s="5"/>
      <c r="B72" s="5"/>
      <c r="C72" s="5" t="s">
        <v>1701</v>
      </c>
      <c r="D72" s="5"/>
      <c r="E72" s="5"/>
      <c r="F72" s="5"/>
      <c r="G72" s="5"/>
      <c r="H72" s="5"/>
      <c r="I72" s="5"/>
      <c r="J72" s="5"/>
      <c r="K72" s="5"/>
      <c r="L72" s="5" t="s">
        <v>1701</v>
      </c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x14ac:dyDescent="0.2">
      <c r="A75" s="5" t="s">
        <v>1453</v>
      </c>
      <c r="B75" s="5">
        <f>B65+B68+B71-B15*9.8</f>
        <v>972115.6725958985</v>
      </c>
      <c r="C75" s="5" t="s">
        <v>1702</v>
      </c>
      <c r="D75" s="5"/>
      <c r="E75" s="5"/>
      <c r="F75" s="5"/>
      <c r="G75" s="5"/>
      <c r="H75" s="5"/>
      <c r="I75" s="5"/>
      <c r="J75" s="5" t="s">
        <v>1453</v>
      </c>
      <c r="K75" s="5">
        <f>B75*0.225</f>
        <v>218726.02633407718</v>
      </c>
      <c r="L75" s="64" t="s">
        <v>1703</v>
      </c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x14ac:dyDescent="0.2">
      <c r="A76" s="5"/>
      <c r="B76" s="5"/>
      <c r="C76" s="5" t="s">
        <v>1704</v>
      </c>
      <c r="D76" s="5"/>
      <c r="E76" s="5"/>
      <c r="F76" s="5"/>
      <c r="G76" s="5"/>
      <c r="H76" s="5"/>
      <c r="I76" s="5"/>
      <c r="J76" s="5"/>
      <c r="K76" s="5"/>
      <c r="L76" s="5" t="s">
        <v>1704</v>
      </c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x14ac:dyDescent="0.2">
      <c r="A78" s="5" t="s">
        <v>1457</v>
      </c>
      <c r="B78" s="265">
        <f>B75/($B$19*$B$13)</f>
        <v>21.927014533835006</v>
      </c>
      <c r="C78" s="5" t="s">
        <v>1720</v>
      </c>
      <c r="D78" s="5"/>
      <c r="E78" s="5"/>
      <c r="F78" s="5"/>
      <c r="G78" s="5"/>
      <c r="H78" s="5"/>
      <c r="I78" s="5"/>
      <c r="J78" s="5" t="s">
        <v>1457</v>
      </c>
      <c r="K78" s="265">
        <f>B78*145.04</f>
        <v>3180.2941879874293</v>
      </c>
      <c r="L78" s="64" t="s">
        <v>1721</v>
      </c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x14ac:dyDescent="0.2">
      <c r="A79" s="5"/>
      <c r="B79" s="265"/>
      <c r="C79" s="5"/>
      <c r="D79" s="5" t="s">
        <v>1460</v>
      </c>
      <c r="E79" s="5"/>
      <c r="F79" s="5"/>
      <c r="G79" s="5"/>
      <c r="H79" s="5"/>
      <c r="I79" s="5"/>
      <c r="J79" s="5"/>
      <c r="K79" s="265"/>
      <c r="L79" s="5"/>
      <c r="M79" s="5" t="s">
        <v>1460</v>
      </c>
      <c r="N79" s="5"/>
      <c r="O79" s="5"/>
      <c r="P79" s="5"/>
      <c r="Q79" s="5"/>
      <c r="R79" s="5"/>
      <c r="S79" s="5"/>
      <c r="T79" s="5"/>
      <c r="U79" s="5"/>
      <c r="V79" s="5"/>
    </row>
    <row r="80" spans="1:22" x14ac:dyDescent="0.2">
      <c r="A80" s="5"/>
      <c r="B80" s="570">
        <f>B18/B78</f>
        <v>4.7794924310505582</v>
      </c>
      <c r="C80" s="563" t="str">
        <f>IF(B80&gt;1,"OK","ERROR")</f>
        <v>OK</v>
      </c>
      <c r="D80" s="5"/>
      <c r="E80" s="5"/>
      <c r="F80" s="5"/>
      <c r="G80" s="5"/>
      <c r="H80" s="5"/>
      <c r="I80" s="5"/>
      <c r="J80" s="5"/>
      <c r="K80" s="570">
        <f>K18/K78</f>
        <v>4.7794924310505582</v>
      </c>
      <c r="L80" s="563" t="str">
        <f>IF(K80&gt;1,"OK","ERROR")</f>
        <v>OK</v>
      </c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5.75" customHeight="1" x14ac:dyDescent="0.25">
      <c r="A82" s="102" t="s">
        <v>1707</v>
      </c>
      <c r="B82" s="5"/>
      <c r="C82" s="5"/>
      <c r="D82" s="5"/>
      <c r="E82" s="5"/>
      <c r="F82" s="5"/>
      <c r="G82" s="5"/>
      <c r="H82" s="5"/>
      <c r="I82" s="5"/>
      <c r="J82" s="102" t="s">
        <v>1708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5.75" customHeight="1" x14ac:dyDescent="0.25">
      <c r="A83" s="102"/>
      <c r="B83" s="5"/>
      <c r="C83" s="5"/>
      <c r="D83" s="5"/>
      <c r="E83" s="5"/>
      <c r="F83" s="5"/>
      <c r="G83" s="5"/>
      <c r="H83" s="5"/>
      <c r="I83" s="5"/>
      <c r="J83" s="10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x14ac:dyDescent="0.2">
      <c r="A84" s="64" t="s">
        <v>1709</v>
      </c>
      <c r="B84" s="433">
        <v>220</v>
      </c>
      <c r="C84" s="64" t="s">
        <v>1710</v>
      </c>
      <c r="D84" s="5"/>
      <c r="E84" s="5"/>
      <c r="F84" s="5"/>
      <c r="G84" s="5"/>
      <c r="H84" s="5"/>
      <c r="I84" s="5"/>
      <c r="J84" s="64" t="s">
        <v>1709</v>
      </c>
      <c r="K84" s="5">
        <f>B84/25.4</f>
        <v>8.6614173228346463</v>
      </c>
      <c r="L84" s="64" t="s">
        <v>1711</v>
      </c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x14ac:dyDescent="0.2">
      <c r="A85" s="64" t="s">
        <v>1712</v>
      </c>
      <c r="B85" s="5">
        <f>B46</f>
        <v>6</v>
      </c>
      <c r="C85" s="64" t="s">
        <v>1713</v>
      </c>
      <c r="D85" s="5"/>
      <c r="E85" s="5"/>
      <c r="F85" s="5"/>
      <c r="G85" s="5"/>
      <c r="H85" s="5"/>
      <c r="I85" s="5"/>
      <c r="J85" s="64" t="s">
        <v>1712</v>
      </c>
      <c r="K85" s="5">
        <f>B85/25.4</f>
        <v>0.23622047244094491</v>
      </c>
      <c r="L85" s="64" t="s">
        <v>1714</v>
      </c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x14ac:dyDescent="0.2">
      <c r="A86" s="64" t="s">
        <v>1407</v>
      </c>
      <c r="B86" s="5">
        <f>B85*B84</f>
        <v>1320</v>
      </c>
      <c r="C86" s="64" t="s">
        <v>1715</v>
      </c>
      <c r="D86" s="5"/>
      <c r="E86" s="5"/>
      <c r="F86" s="5"/>
      <c r="G86" s="5"/>
      <c r="H86" s="5"/>
      <c r="I86" s="5"/>
      <c r="J86" s="64" t="s">
        <v>1407</v>
      </c>
      <c r="K86" s="5">
        <f>K85*K84</f>
        <v>2.0460040920081846</v>
      </c>
      <c r="L86" s="64" t="s">
        <v>1716</v>
      </c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x14ac:dyDescent="0.2">
      <c r="A87" s="64" t="s">
        <v>898</v>
      </c>
      <c r="B87" s="5">
        <f>B48</f>
        <v>104.8</v>
      </c>
      <c r="C87" s="5" t="s">
        <v>1438</v>
      </c>
      <c r="D87" s="5"/>
      <c r="E87" s="5"/>
      <c r="F87" s="5"/>
      <c r="G87" s="5"/>
      <c r="H87" s="5"/>
      <c r="I87" s="5"/>
      <c r="J87" s="64" t="s">
        <v>898</v>
      </c>
      <c r="K87" s="5">
        <f>B87*145.4</f>
        <v>15237.92</v>
      </c>
      <c r="L87" s="64" t="s">
        <v>1439</v>
      </c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x14ac:dyDescent="0.2">
      <c r="A88" s="64" t="s">
        <v>1604</v>
      </c>
      <c r="B88" s="5">
        <f>B75/(B86*$B$19)</f>
        <v>23.01410209744078</v>
      </c>
      <c r="C88" s="64" t="s">
        <v>1717</v>
      </c>
      <c r="D88" s="5"/>
      <c r="E88" s="5"/>
      <c r="F88" s="5"/>
      <c r="G88" s="5"/>
      <c r="H88" s="5"/>
      <c r="I88" s="5"/>
      <c r="J88" s="64" t="s">
        <v>1604</v>
      </c>
      <c r="K88" s="5">
        <f>B88*145.4</f>
        <v>3346.2504449678895</v>
      </c>
      <c r="L88" s="64" t="s">
        <v>1718</v>
      </c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3.5" customHeight="1" thickBot="1" x14ac:dyDescent="0.25">
      <c r="A90" s="5"/>
      <c r="B90" s="570">
        <f>B87/$B$88</f>
        <v>4.5537296895738546</v>
      </c>
      <c r="C90" s="563" t="str">
        <f>IF(B90&gt;1,"OK","ERROR")</f>
        <v>OK</v>
      </c>
      <c r="D90" s="5"/>
      <c r="E90" s="5"/>
      <c r="F90" s="5"/>
      <c r="G90" s="5"/>
      <c r="H90" s="5"/>
      <c r="I90" s="5"/>
      <c r="J90" s="5"/>
      <c r="K90" s="570">
        <f>K87/$K$88</f>
        <v>4.5537296895738546</v>
      </c>
      <c r="L90" s="563" t="str">
        <f>IF(K90&gt;1,"OK","ERROR")</f>
        <v>OK</v>
      </c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7.25" customHeight="1" thickTop="1" thickBot="1" x14ac:dyDescent="0.3">
      <c r="A91" s="5"/>
      <c r="B91" s="5"/>
      <c r="C91" s="5"/>
      <c r="D91" s="5"/>
      <c r="E91" s="5"/>
      <c r="F91" s="5"/>
      <c r="G91" s="5"/>
      <c r="H91" s="5"/>
      <c r="I91" s="5"/>
      <c r="J91" s="822"/>
      <c r="K91" s="823"/>
      <c r="L91" s="824"/>
      <c r="M91" s="913" t="str">
        <f>'Front Page'!$A$13</f>
        <v>Mechanical  Calculations</v>
      </c>
      <c r="N91" s="842"/>
      <c r="O91" s="842"/>
      <c r="P91" s="842"/>
      <c r="Q91" s="842"/>
      <c r="R91" s="843"/>
      <c r="S91" s="5"/>
      <c r="T91" s="5"/>
      <c r="U91" s="5"/>
      <c r="V91" s="5"/>
    </row>
    <row r="92" spans="1:22" ht="16.5" customHeight="1" thickBot="1" x14ac:dyDescent="0.3">
      <c r="A92" s="5"/>
      <c r="B92" s="5"/>
      <c r="C92" s="5"/>
      <c r="D92" s="5"/>
      <c r="E92" s="5"/>
      <c r="F92" s="5"/>
      <c r="G92" s="5"/>
      <c r="H92" s="5"/>
      <c r="I92" s="5"/>
      <c r="J92" s="825"/>
      <c r="K92" s="809"/>
      <c r="L92" s="826"/>
      <c r="M92" s="839"/>
      <c r="N92" s="831"/>
      <c r="O92" s="831"/>
      <c r="P92" s="831"/>
      <c r="Q92" s="831"/>
      <c r="R92" s="832"/>
      <c r="S92" s="5"/>
      <c r="T92" s="5"/>
      <c r="U92" s="5"/>
      <c r="V92" s="5"/>
    </row>
    <row r="93" spans="1:22" ht="16.5" customHeight="1" thickBot="1" x14ac:dyDescent="0.3">
      <c r="A93" s="5"/>
      <c r="B93" s="5"/>
      <c r="C93" s="5"/>
      <c r="D93" s="5"/>
      <c r="E93" s="5"/>
      <c r="F93" s="5"/>
      <c r="G93" s="5"/>
      <c r="H93" s="5"/>
      <c r="I93" s="5"/>
      <c r="J93" s="827"/>
      <c r="K93" s="828"/>
      <c r="L93" s="829"/>
      <c r="M93" s="839" t="s">
        <v>1668</v>
      </c>
      <c r="N93" s="831"/>
      <c r="O93" s="831"/>
      <c r="P93" s="831"/>
      <c r="Q93" s="831"/>
      <c r="R93" s="832"/>
      <c r="S93" s="5"/>
      <c r="T93" s="5"/>
      <c r="U93" s="5"/>
      <c r="V93" s="5"/>
    </row>
    <row r="94" spans="1:22" ht="15.75" customHeight="1" thickBot="1" x14ac:dyDescent="0.3">
      <c r="A94" s="5"/>
      <c r="B94" s="5"/>
      <c r="C94" s="5"/>
      <c r="D94" s="5"/>
      <c r="E94" s="5"/>
      <c r="F94" s="5"/>
      <c r="G94" s="5"/>
      <c r="H94" s="5"/>
      <c r="I94" s="5"/>
      <c r="J94" s="830"/>
      <c r="K94" s="831"/>
      <c r="L94" s="832"/>
      <c r="M94" s="915" t="str">
        <f>'Front Page'!$D$4</f>
        <v>Doc Nº</v>
      </c>
      <c r="N94" s="832"/>
      <c r="O94" s="846"/>
      <c r="P94" s="832"/>
      <c r="Q94" s="33"/>
      <c r="R94" s="544"/>
      <c r="S94" s="5"/>
      <c r="T94" s="5"/>
      <c r="U94" s="5"/>
      <c r="V94" s="5"/>
    </row>
    <row r="95" spans="1:22" ht="15.75" customHeight="1" thickBot="1" x14ac:dyDescent="0.3">
      <c r="A95" s="5"/>
      <c r="B95" s="5"/>
      <c r="C95" s="5"/>
      <c r="D95" s="5"/>
      <c r="E95" s="5"/>
      <c r="F95" s="5"/>
      <c r="G95" s="5"/>
      <c r="H95" s="5"/>
      <c r="I95" s="5"/>
      <c r="J95" s="987"/>
      <c r="K95" s="834"/>
      <c r="L95" s="835"/>
      <c r="M95" s="914" t="str">
        <f>'Front Page'!$D$5</f>
        <v>Project</v>
      </c>
      <c r="N95" s="835"/>
      <c r="O95" s="899"/>
      <c r="P95" s="835"/>
      <c r="Q95" s="131" t="s">
        <v>5</v>
      </c>
      <c r="R95" s="427"/>
      <c r="S95" s="5"/>
      <c r="T95" s="5"/>
      <c r="U95" s="5"/>
      <c r="V95" s="5"/>
    </row>
    <row r="96" spans="1:22" ht="13.5" customHeight="1" thickTop="1" x14ac:dyDescent="0.2">
      <c r="A96" s="5"/>
      <c r="B96" s="5"/>
      <c r="C96" s="5"/>
      <c r="D96" s="5"/>
      <c r="E96" s="5"/>
      <c r="F96" s="5"/>
      <c r="G96" s="5"/>
      <c r="H96" s="5"/>
      <c r="I96" s="5"/>
      <c r="J96" s="4"/>
      <c r="K96" s="4"/>
      <c r="L96" s="4"/>
      <c r="M96" s="4"/>
      <c r="N96" s="4"/>
      <c r="O96" s="4"/>
      <c r="P96" s="4"/>
      <c r="Q96" s="4"/>
      <c r="R96" s="4"/>
      <c r="S96" s="5"/>
      <c r="T96" s="5"/>
      <c r="U96" s="5"/>
      <c r="V96" s="5"/>
    </row>
    <row r="97" spans="1:22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102" t="s">
        <v>1722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 t="s">
        <v>1119</v>
      </c>
      <c r="K100" s="637">
        <f>K36/K19*0.001</f>
        <v>20.714464622966979</v>
      </c>
      <c r="L100" s="5" t="s">
        <v>1723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 t="s">
        <v>1059</v>
      </c>
      <c r="K101" s="638">
        <v>3.125</v>
      </c>
      <c r="L101" s="64" t="s">
        <v>1724</v>
      </c>
      <c r="M101" s="5"/>
      <c r="N101" s="212"/>
      <c r="O101" s="212"/>
      <c r="P101" s="212"/>
      <c r="Q101" s="212"/>
      <c r="R101" s="212"/>
      <c r="S101" s="5"/>
      <c r="T101" s="5"/>
      <c r="U101" s="5"/>
      <c r="V101" s="5"/>
    </row>
    <row r="102" spans="1:22" ht="1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 t="s">
        <v>164</v>
      </c>
      <c r="K102" s="638">
        <v>0.78739999999999999</v>
      </c>
      <c r="L102" s="5" t="s">
        <v>1725</v>
      </c>
      <c r="M102" s="5"/>
      <c r="N102" s="212"/>
      <c r="O102" s="5"/>
      <c r="P102" s="417">
        <f>+K107</f>
        <v>10</v>
      </c>
      <c r="Q102" s="5"/>
      <c r="R102" s="5"/>
      <c r="S102" s="5"/>
      <c r="T102" s="5"/>
      <c r="U102" s="5"/>
      <c r="V102" s="5"/>
    </row>
    <row r="103" spans="1:22" ht="1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 t="s">
        <v>360</v>
      </c>
      <c r="K103" s="637">
        <f>'Main Dimensions Calcs'!H25/25.4</f>
        <v>0.23622047244094491</v>
      </c>
      <c r="L103" s="5" t="s">
        <v>1726</v>
      </c>
      <c r="M103" s="212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 t="s">
        <v>971</v>
      </c>
      <c r="K104" s="637">
        <f>K11</f>
        <v>1.6535433070866143</v>
      </c>
      <c r="L104" s="5" t="s">
        <v>1727</v>
      </c>
      <c r="M104" s="212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 t="s">
        <v>1728</v>
      </c>
      <c r="K105" s="637">
        <f>'Main Dimensions Calcs'!D32/(2*25.4)</f>
        <v>460.62992125984255</v>
      </c>
      <c r="L105" s="5" t="s">
        <v>1729</v>
      </c>
      <c r="M105" s="5"/>
      <c r="N105" s="5"/>
      <c r="O105" s="5"/>
      <c r="P105" s="5"/>
      <c r="Q105" s="5"/>
      <c r="R105" s="639">
        <f>+K102</f>
        <v>0.78739999999999999</v>
      </c>
      <c r="S105" s="5"/>
      <c r="T105" s="5"/>
      <c r="U105" s="5"/>
      <c r="V105" s="5"/>
    </row>
    <row r="106" spans="1:22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 t="s">
        <v>121</v>
      </c>
      <c r="K106" s="640">
        <v>6</v>
      </c>
      <c r="L106" s="64" t="s">
        <v>1730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 t="s">
        <v>117</v>
      </c>
      <c r="K107" s="640">
        <v>10</v>
      </c>
      <c r="L107" s="64" t="s">
        <v>1731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 t="s">
        <v>1732</v>
      </c>
      <c r="K108" s="640">
        <v>16</v>
      </c>
      <c r="L108" s="5" t="s">
        <v>1733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 t="s">
        <v>1734</v>
      </c>
      <c r="K109" s="641">
        <f>1/(0.177*K107*K110/(K105*K103)^0.5*(K110/K103)^2+1)</f>
        <v>0.97732990141420406</v>
      </c>
      <c r="L109" s="5" t="s">
        <v>1735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 t="s">
        <v>408</v>
      </c>
      <c r="K110" s="641">
        <f>5/25.4</f>
        <v>0.19685039370078741</v>
      </c>
      <c r="L110" s="64" t="s">
        <v>1736</v>
      </c>
      <c r="M110" s="5"/>
      <c r="N110" s="5"/>
      <c r="O110" s="5"/>
      <c r="P110" s="5"/>
      <c r="Q110" s="5"/>
      <c r="R110" s="550">
        <f>+K108</f>
        <v>16</v>
      </c>
      <c r="S110" s="5"/>
      <c r="T110" s="5"/>
      <c r="U110" s="5"/>
      <c r="V110" s="5"/>
    </row>
    <row r="111" spans="1:22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 t="s">
        <v>526</v>
      </c>
      <c r="K111" s="640">
        <v>2</v>
      </c>
      <c r="L111" s="64" t="s">
        <v>1737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 t="s">
        <v>1738</v>
      </c>
      <c r="K112" s="640">
        <v>0.5</v>
      </c>
      <c r="L112" s="5" t="s">
        <v>1739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 t="s">
        <v>1740</v>
      </c>
      <c r="K113" s="640">
        <v>5</v>
      </c>
      <c r="L113" s="64" t="s">
        <v>1741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332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64" t="s">
        <v>1742</v>
      </c>
      <c r="K115" s="641">
        <f>K100*K111/K103^2*(1.32*K109/((1.43*K107*K108^2/(K105*K103))+(K107*K108^2*4)^0.33)+0.031/(K105*K103)^0.5)</f>
        <v>19.716545384258939</v>
      </c>
      <c r="L115" s="64" t="s">
        <v>1743</v>
      </c>
      <c r="M115" s="5"/>
      <c r="N115" s="5"/>
      <c r="O115" s="5"/>
      <c r="P115" s="417">
        <f>+K106</f>
        <v>6</v>
      </c>
      <c r="Q115" s="642">
        <f>+K118</f>
        <v>0.60850400000000004</v>
      </c>
      <c r="R115" s="5"/>
      <c r="S115" s="5"/>
      <c r="T115" s="5"/>
      <c r="U115" s="5"/>
      <c r="V115" s="5"/>
    </row>
    <row r="116" spans="1:22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332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64" t="s">
        <v>898</v>
      </c>
      <c r="K117" s="637">
        <f>K100/(K101*K102^2)*(0.375*K106-0.22*K104)</f>
        <v>20.16625826670699</v>
      </c>
      <c r="L117" s="64" t="s">
        <v>1744</v>
      </c>
      <c r="M117" s="5"/>
      <c r="N117" s="5"/>
      <c r="O117" s="5"/>
      <c r="P117" s="5"/>
      <c r="Q117" s="417">
        <f>+K113</f>
        <v>5</v>
      </c>
      <c r="R117" s="5"/>
      <c r="S117" s="5"/>
      <c r="T117" s="5"/>
      <c r="U117" s="5"/>
      <c r="V117" s="5"/>
    </row>
    <row r="118" spans="1:22" ht="1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 t="s">
        <v>1745</v>
      </c>
      <c r="K118" s="637">
        <f>MAX(0.04*(K108-K102),0.5)</f>
        <v>0.60850400000000004</v>
      </c>
      <c r="L118" s="64" t="s">
        <v>1746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 t="s">
        <v>1747</v>
      </c>
      <c r="K119" s="637">
        <f>K112*K113/(K100/25)</f>
        <v>3.0172153197096718</v>
      </c>
      <c r="L119" s="5" t="s">
        <v>1748</v>
      </c>
      <c r="M119" s="5"/>
      <c r="N119" s="5"/>
      <c r="O119" s="5"/>
      <c r="P119" s="332">
        <f>+R105</f>
        <v>0.78739999999999999</v>
      </c>
      <c r="Q119" s="5"/>
      <c r="R119" s="5"/>
      <c r="S119" s="5"/>
      <c r="T119" s="5"/>
      <c r="U119" s="5"/>
      <c r="V119" s="5"/>
    </row>
    <row r="120" spans="1:22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 t="s">
        <v>1749</v>
      </c>
      <c r="K121" s="5">
        <f>K100/(K107+2*K108)</f>
        <v>0.49320153864207095</v>
      </c>
      <c r="L121" s="5" t="s">
        <v>1750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 t="s">
        <v>1324</v>
      </c>
      <c r="K122" s="5">
        <f>K100*K111/(K107*K108+0.667*K108^2)</f>
        <v>0.12525677621279374</v>
      </c>
      <c r="L122" s="5" t="s">
        <v>1751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 t="s">
        <v>197</v>
      </c>
      <c r="K123" s="5">
        <f>(K121^2+K122^2)^0.5</f>
        <v>0.50885854390599372</v>
      </c>
      <c r="L123" s="5" t="s">
        <v>1752</v>
      </c>
      <c r="M123" s="5"/>
      <c r="N123" s="5"/>
      <c r="O123" s="5"/>
      <c r="P123" s="265">
        <f>+R110</f>
        <v>16</v>
      </c>
      <c r="Q123" s="5"/>
      <c r="R123" s="5"/>
      <c r="S123" s="5"/>
      <c r="T123" s="5"/>
      <c r="U123" s="5"/>
      <c r="V123" s="5"/>
    </row>
    <row r="124" spans="1:22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64"/>
      <c r="K124" s="5"/>
      <c r="L124" s="64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75" t="s">
        <v>1471</v>
      </c>
      <c r="K126" s="26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118" t="s">
        <v>1753</v>
      </c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</sheetData>
  <mergeCells count="54">
    <mergeCell ref="L65:R66"/>
    <mergeCell ref="J58:L58"/>
    <mergeCell ref="M58:N58"/>
    <mergeCell ref="O58:P58"/>
    <mergeCell ref="J59:L59"/>
    <mergeCell ref="M59:N59"/>
    <mergeCell ref="O59:P59"/>
    <mergeCell ref="J5:L5"/>
    <mergeCell ref="M5:N5"/>
    <mergeCell ref="O5:P5"/>
    <mergeCell ref="L26:R27"/>
    <mergeCell ref="J55:L57"/>
    <mergeCell ref="M55:R55"/>
    <mergeCell ref="M56:R56"/>
    <mergeCell ref="M57:R57"/>
    <mergeCell ref="J1:L3"/>
    <mergeCell ref="M1:R1"/>
    <mergeCell ref="M2:R2"/>
    <mergeCell ref="M3:R3"/>
    <mergeCell ref="J4:L4"/>
    <mergeCell ref="M4:N4"/>
    <mergeCell ref="O4:P4"/>
    <mergeCell ref="C65:I66"/>
    <mergeCell ref="A55:C57"/>
    <mergeCell ref="F59:G59"/>
    <mergeCell ref="D55:I55"/>
    <mergeCell ref="D56:I56"/>
    <mergeCell ref="D57:I57"/>
    <mergeCell ref="D3:I3"/>
    <mergeCell ref="F4:G4"/>
    <mergeCell ref="A59:C59"/>
    <mergeCell ref="D59:E59"/>
    <mergeCell ref="A1:C3"/>
    <mergeCell ref="F5:G5"/>
    <mergeCell ref="C26:I27"/>
    <mergeCell ref="D1:I1"/>
    <mergeCell ref="D2:I2"/>
    <mergeCell ref="D58:E58"/>
    <mergeCell ref="A4:C4"/>
    <mergeCell ref="D4:E4"/>
    <mergeCell ref="A5:C5"/>
    <mergeCell ref="D5:E5"/>
    <mergeCell ref="F58:G58"/>
    <mergeCell ref="A58:C58"/>
    <mergeCell ref="J95:L95"/>
    <mergeCell ref="M95:N95"/>
    <mergeCell ref="O95:P95"/>
    <mergeCell ref="J91:L93"/>
    <mergeCell ref="M91:R91"/>
    <mergeCell ref="M92:R92"/>
    <mergeCell ref="M93:R93"/>
    <mergeCell ref="J94:L94"/>
    <mergeCell ref="M94:N94"/>
    <mergeCell ref="O94:P94"/>
  </mergeCells>
  <pageMargins left="0.74803149606299213" right="0.74803149606299213" top="0.98425196850393704" bottom="0.98425196850393704" header="0" footer="0"/>
  <pageSetup paperSize="9" scale="94" fitToHeight="0" orientation="portrait"/>
  <rowBreaks count="3" manualBreakCount="3">
    <brk id="54" max="8" man="1"/>
    <brk id="54" min="9" max="17" man="1"/>
    <brk id="90" min="9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  <pageSetUpPr fitToPage="1"/>
  </sheetPr>
  <dimension ref="A1:K53"/>
  <sheetViews>
    <sheetView workbookViewId="0">
      <selection sqref="A1:C3"/>
    </sheetView>
    <sheetView tabSelected="1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4" width="8.140625" customWidth="1"/>
    <col min="5" max="5" width="8.85546875" customWidth="1"/>
    <col min="6" max="6" width="8.140625" customWidth="1"/>
    <col min="7" max="7" width="7.85546875" customWidth="1"/>
    <col min="8" max="8" width="6.140625" customWidth="1"/>
    <col min="9" max="9" width="9.42578125" customWidth="1"/>
    <col min="10" max="10" width="6" customWidth="1"/>
    <col min="11" max="11" width="9.42578125" customWidth="1"/>
    <col min="18" max="18" width="8.140625" customWidth="1"/>
  </cols>
  <sheetData>
    <row r="1" spans="1:11" ht="14.25" customHeight="1" thickTop="1" thickBot="1" x14ac:dyDescent="0.25">
      <c r="A1" s="822"/>
      <c r="B1" s="823"/>
      <c r="C1" s="824"/>
      <c r="D1" s="841" t="str">
        <f>'Front Page'!$A$13</f>
        <v>Mechanical  Calculations</v>
      </c>
      <c r="E1" s="842"/>
      <c r="F1" s="842"/>
      <c r="G1" s="842"/>
      <c r="H1" s="842"/>
      <c r="I1" s="842"/>
      <c r="J1" s="842"/>
      <c r="K1" s="843"/>
    </row>
    <row r="2" spans="1:11" ht="14.25" customHeight="1" thickBot="1" x14ac:dyDescent="0.25">
      <c r="A2" s="825"/>
      <c r="B2" s="809"/>
      <c r="C2" s="826"/>
      <c r="D2" s="840"/>
      <c r="E2" s="831"/>
      <c r="F2" s="831"/>
      <c r="G2" s="831"/>
      <c r="H2" s="831"/>
      <c r="I2" s="831"/>
      <c r="J2" s="831"/>
      <c r="K2" s="832"/>
    </row>
    <row r="3" spans="1:11" ht="14.25" customHeight="1" thickBot="1" x14ac:dyDescent="0.25">
      <c r="A3" s="827"/>
      <c r="B3" s="828"/>
      <c r="C3" s="829"/>
      <c r="D3" s="840" t="s">
        <v>0</v>
      </c>
      <c r="E3" s="831"/>
      <c r="F3" s="831"/>
      <c r="G3" s="831"/>
      <c r="H3" s="831"/>
      <c r="I3" s="831"/>
      <c r="J3" s="831"/>
      <c r="K3" s="832"/>
    </row>
    <row r="4" spans="1:11" ht="14.25" customHeight="1" thickBot="1" x14ac:dyDescent="0.3">
      <c r="A4" s="830"/>
      <c r="B4" s="831"/>
      <c r="C4" s="832"/>
      <c r="D4" s="839" t="s">
        <v>1</v>
      </c>
      <c r="E4" s="832"/>
      <c r="F4" s="846"/>
      <c r="G4" s="832"/>
      <c r="H4" s="845" t="s">
        <v>2</v>
      </c>
      <c r="I4" s="832"/>
      <c r="J4" s="846"/>
      <c r="K4" s="832"/>
    </row>
    <row r="5" spans="1:11" ht="14.25" customHeight="1" thickBot="1" x14ac:dyDescent="0.3">
      <c r="A5" s="833"/>
      <c r="B5" s="834"/>
      <c r="C5" s="835"/>
      <c r="D5" s="838" t="s">
        <v>4</v>
      </c>
      <c r="E5" s="835"/>
      <c r="F5" s="836"/>
      <c r="G5" s="835"/>
      <c r="H5" s="844" t="s">
        <v>5</v>
      </c>
      <c r="I5" s="835"/>
      <c r="J5" s="899"/>
      <c r="K5" s="835"/>
    </row>
    <row r="6" spans="1:11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20.25" customHeight="1" x14ac:dyDescent="0.3">
      <c r="A7" s="63" t="s">
        <v>44</v>
      </c>
      <c r="B7" s="117"/>
      <c r="C7" s="117"/>
      <c r="D7" s="117"/>
      <c r="E7" s="117"/>
      <c r="F7" s="117"/>
      <c r="G7" s="117"/>
      <c r="H7" s="5"/>
      <c r="I7" s="5"/>
      <c r="J7" s="5"/>
      <c r="K7" s="5"/>
    </row>
    <row r="8" spans="1:11" x14ac:dyDescent="0.2">
      <c r="A8" s="117"/>
      <c r="B8" s="117"/>
      <c r="C8" s="117"/>
      <c r="D8" s="117"/>
      <c r="E8" s="117"/>
      <c r="F8" s="117"/>
      <c r="G8" s="118"/>
      <c r="H8" s="5"/>
      <c r="I8" s="5"/>
      <c r="J8" s="5"/>
      <c r="K8" s="5"/>
    </row>
    <row r="9" spans="1:11" x14ac:dyDescent="0.2">
      <c r="A9" s="118" t="s">
        <v>97</v>
      </c>
      <c r="B9" s="117"/>
      <c r="C9" s="117"/>
      <c r="D9" s="117"/>
      <c r="E9" s="117"/>
      <c r="F9" s="117"/>
      <c r="G9" s="117"/>
      <c r="H9" s="5"/>
      <c r="I9" s="64"/>
      <c r="J9" s="64"/>
      <c r="K9" s="5"/>
    </row>
    <row r="10" spans="1:11" x14ac:dyDescent="0.2">
      <c r="A10" s="119"/>
      <c r="B10" s="117"/>
      <c r="C10" s="117"/>
      <c r="D10" s="117"/>
      <c r="E10" s="117"/>
      <c r="F10" s="117"/>
      <c r="G10" s="117"/>
      <c r="H10" s="5"/>
      <c r="I10" s="64"/>
      <c r="J10" s="64"/>
      <c r="K10" s="5"/>
    </row>
    <row r="11" spans="1:11" x14ac:dyDescent="0.2">
      <c r="A11" s="69"/>
      <c r="B11" s="64"/>
      <c r="C11" s="118"/>
      <c r="D11" s="118"/>
      <c r="E11" s="118"/>
      <c r="F11" s="117"/>
      <c r="G11" s="117"/>
      <c r="H11" s="5"/>
      <c r="I11" s="64"/>
      <c r="J11" s="64"/>
      <c r="K11" s="5"/>
    </row>
    <row r="12" spans="1:11" x14ac:dyDescent="0.2">
      <c r="A12" s="69"/>
      <c r="B12" s="120"/>
      <c r="C12" s="118"/>
      <c r="D12" s="118"/>
      <c r="E12" s="118"/>
      <c r="F12" s="117"/>
      <c r="G12" s="117"/>
      <c r="H12" s="5"/>
      <c r="I12" s="64"/>
      <c r="J12" s="64"/>
      <c r="K12" s="5"/>
    </row>
    <row r="13" spans="1:11" x14ac:dyDescent="0.2">
      <c r="A13" s="69"/>
      <c r="B13" s="64"/>
      <c r="C13" s="118"/>
      <c r="D13" s="118"/>
      <c r="E13" s="118"/>
      <c r="F13" s="118"/>
      <c r="G13" s="118"/>
      <c r="H13" s="5"/>
      <c r="I13" s="90"/>
      <c r="J13" s="90"/>
      <c r="K13" s="5"/>
    </row>
    <row r="14" spans="1:11" x14ac:dyDescent="0.2">
      <c r="A14" s="5"/>
      <c r="B14" s="5"/>
      <c r="C14" s="5"/>
      <c r="D14" s="5"/>
      <c r="E14" s="5"/>
      <c r="F14" s="118"/>
      <c r="G14" s="118"/>
      <c r="H14" s="5"/>
      <c r="I14" s="90"/>
      <c r="J14" s="90"/>
      <c r="K14" s="5"/>
    </row>
    <row r="15" spans="1:11" x14ac:dyDescent="0.2">
      <c r="A15" s="119"/>
      <c r="B15" s="64"/>
      <c r="C15" s="118"/>
      <c r="D15" s="118"/>
      <c r="E15" s="118"/>
      <c r="F15" s="118"/>
      <c r="G15" s="118"/>
      <c r="H15" s="5"/>
      <c r="I15" s="90"/>
      <c r="J15" s="90"/>
      <c r="K15" s="5"/>
    </row>
    <row r="16" spans="1:11" x14ac:dyDescent="0.2">
      <c r="A16" s="119"/>
      <c r="B16" s="64"/>
      <c r="C16" s="118"/>
      <c r="D16" s="118"/>
      <c r="E16" s="118"/>
      <c r="F16" s="118"/>
      <c r="G16" s="118"/>
      <c r="H16" s="5"/>
      <c r="I16" s="90"/>
      <c r="J16" s="90"/>
      <c r="K16" s="5"/>
    </row>
    <row r="17" spans="1:11" x14ac:dyDescent="0.2">
      <c r="A17" s="119"/>
      <c r="B17" s="117"/>
      <c r="C17" s="118"/>
      <c r="D17" s="118"/>
      <c r="E17" s="118"/>
      <c r="F17" s="118"/>
      <c r="G17" s="118"/>
      <c r="H17" s="5"/>
      <c r="I17" s="90"/>
      <c r="J17" s="90"/>
      <c r="K17" s="5"/>
    </row>
    <row r="18" spans="1:11" x14ac:dyDescent="0.2">
      <c r="A18" s="118" t="s">
        <v>99</v>
      </c>
      <c r="B18" s="117"/>
      <c r="C18" s="117"/>
      <c r="D18" s="117"/>
      <c r="E18" s="117"/>
      <c r="F18" s="117"/>
      <c r="G18" s="117"/>
      <c r="H18" s="5"/>
      <c r="I18" s="64"/>
      <c r="J18" s="64"/>
      <c r="K18" s="5"/>
    </row>
    <row r="19" spans="1:11" x14ac:dyDescent="0.2">
      <c r="A19" s="118"/>
      <c r="B19" s="117"/>
      <c r="C19" s="117"/>
      <c r="D19" s="117"/>
      <c r="E19" s="117"/>
      <c r="F19" s="117"/>
      <c r="G19" s="117"/>
      <c r="H19" s="5"/>
      <c r="I19" s="64"/>
      <c r="J19" s="64"/>
      <c r="K19" s="5"/>
    </row>
    <row r="20" spans="1:11" x14ac:dyDescent="0.2">
      <c r="A20" s="64" t="s">
        <v>98</v>
      </c>
      <c r="B20" s="64" t="s">
        <v>100</v>
      </c>
      <c r="C20" s="117"/>
      <c r="D20" s="64" t="s">
        <v>101</v>
      </c>
      <c r="E20" s="117"/>
      <c r="F20" s="117"/>
      <c r="G20" s="117"/>
      <c r="H20" s="5"/>
      <c r="I20" s="64"/>
      <c r="J20" s="64"/>
      <c r="K20" s="5"/>
    </row>
    <row r="21" spans="1:11" x14ac:dyDescent="0.2">
      <c r="A21" s="64" t="s">
        <v>98</v>
      </c>
      <c r="B21" s="64" t="s">
        <v>102</v>
      </c>
      <c r="C21" s="117"/>
      <c r="D21" s="117"/>
      <c r="E21" s="117"/>
      <c r="F21" s="117"/>
      <c r="G21" s="117"/>
      <c r="H21" s="5"/>
      <c r="I21" s="64"/>
      <c r="J21" s="64"/>
      <c r="K21" s="5"/>
    </row>
    <row r="22" spans="1:11" ht="15.75" customHeight="1" x14ac:dyDescent="0.2">
      <c r="A22" s="117"/>
      <c r="B22" s="901"/>
      <c r="C22" s="809"/>
      <c r="D22" s="809"/>
      <c r="E22" s="809"/>
      <c r="F22" s="809"/>
      <c r="G22" s="809"/>
      <c r="H22" s="5"/>
      <c r="I22" s="90"/>
      <c r="J22" s="90"/>
      <c r="K22" s="5"/>
    </row>
    <row r="23" spans="1:11" s="1" customFormat="1" ht="14.25" customHeight="1" x14ac:dyDescent="0.2">
      <c r="A23" s="119"/>
      <c r="B23" s="901"/>
      <c r="C23" s="809"/>
      <c r="D23" s="809"/>
      <c r="E23" s="809"/>
      <c r="F23" s="809"/>
      <c r="G23" s="809"/>
      <c r="H23" s="809"/>
      <c r="I23" s="809"/>
      <c r="J23" s="809"/>
      <c r="K23" s="5"/>
    </row>
    <row r="24" spans="1:11" x14ac:dyDescent="0.2">
      <c r="A24" s="5"/>
      <c r="B24" s="5"/>
      <c r="C24" s="5"/>
      <c r="D24" s="5"/>
      <c r="E24" s="5"/>
      <c r="F24" s="118"/>
      <c r="G24" s="118"/>
      <c r="H24" s="5"/>
      <c r="I24" s="90"/>
      <c r="J24" s="90"/>
      <c r="K24" s="5"/>
    </row>
    <row r="25" spans="1:11" x14ac:dyDescent="0.2">
      <c r="A25" s="5"/>
      <c r="B25" s="5"/>
      <c r="C25" s="5"/>
      <c r="D25" s="5"/>
      <c r="E25" s="5"/>
      <c r="F25" s="5"/>
      <c r="G25" s="5"/>
      <c r="H25" s="5"/>
      <c r="I25" s="64"/>
      <c r="J25" s="64"/>
      <c r="K25" s="5"/>
    </row>
    <row r="26" spans="1:11" x14ac:dyDescent="0.2">
      <c r="A26" s="5"/>
      <c r="B26" s="5"/>
      <c r="C26" s="5"/>
      <c r="D26" s="5"/>
      <c r="E26" s="5"/>
      <c r="F26" s="5"/>
      <c r="G26" s="5"/>
      <c r="H26" s="5"/>
      <c r="I26" s="64"/>
      <c r="J26" s="64"/>
      <c r="K26" s="5"/>
    </row>
    <row r="27" spans="1:11" x14ac:dyDescent="0.2">
      <c r="A27" s="121"/>
      <c r="B27" s="117"/>
      <c r="C27" s="118"/>
      <c r="D27" s="118"/>
      <c r="E27" s="118"/>
      <c r="F27" s="117"/>
      <c r="G27" s="117"/>
      <c r="H27" s="5"/>
      <c r="I27" s="64"/>
      <c r="J27" s="64"/>
      <c r="K27" s="5"/>
    </row>
    <row r="28" spans="1:11" x14ac:dyDescent="0.2">
      <c r="A28" s="119"/>
      <c r="B28" s="5"/>
      <c r="C28" s="5"/>
      <c r="D28" s="5"/>
      <c r="E28" s="5"/>
      <c r="F28" s="5"/>
      <c r="G28" s="117"/>
      <c r="H28" s="5"/>
      <c r="I28" s="64"/>
      <c r="J28" s="64"/>
      <c r="K28" s="5"/>
    </row>
    <row r="29" spans="1:11" x14ac:dyDescent="0.2">
      <c r="A29" s="117"/>
      <c r="B29" s="5"/>
      <c r="C29" s="5"/>
      <c r="D29" s="5"/>
      <c r="E29" s="5"/>
      <c r="F29" s="5"/>
      <c r="G29" s="117"/>
      <c r="H29" s="5"/>
      <c r="I29" s="64"/>
      <c r="J29" s="64"/>
      <c r="K29" s="5"/>
    </row>
    <row r="30" spans="1:11" x14ac:dyDescent="0.2">
      <c r="A30" s="118"/>
      <c r="B30" s="117"/>
      <c r="C30" s="117"/>
      <c r="D30" s="117"/>
      <c r="E30" s="117"/>
      <c r="F30" s="117"/>
      <c r="G30" s="117"/>
      <c r="H30" s="5"/>
      <c r="I30" s="64"/>
      <c r="J30" s="64"/>
      <c r="K30" s="5"/>
    </row>
    <row r="31" spans="1:11" ht="15.75" customHeight="1" x14ac:dyDescent="0.2">
      <c r="A31" s="5"/>
      <c r="B31" s="117"/>
      <c r="C31" s="117"/>
      <c r="D31" s="117"/>
      <c r="E31" s="117"/>
      <c r="F31" s="117"/>
      <c r="G31" s="117"/>
      <c r="H31" s="5"/>
      <c r="I31" s="64"/>
      <c r="J31" s="64"/>
      <c r="K31" s="5"/>
    </row>
    <row r="32" spans="1:11" x14ac:dyDescent="0.2">
      <c r="A32" s="118"/>
      <c r="B32" s="122"/>
      <c r="C32" s="122"/>
      <c r="D32" s="122"/>
      <c r="E32" s="122"/>
      <c r="F32" s="122"/>
      <c r="G32" s="117"/>
      <c r="H32" s="5"/>
      <c r="I32" s="64"/>
      <c r="J32" s="64"/>
      <c r="K32" s="5"/>
    </row>
    <row r="33" spans="1:11" x14ac:dyDescent="0.2">
      <c r="A33" s="5"/>
      <c r="B33" s="117"/>
      <c r="C33" s="122"/>
      <c r="D33" s="122"/>
      <c r="E33" s="122"/>
      <c r="F33" s="122"/>
      <c r="G33" s="117"/>
      <c r="H33" s="5"/>
      <c r="I33" s="64"/>
      <c r="J33" s="64"/>
      <c r="K33" s="5"/>
    </row>
    <row r="34" spans="1:11" x14ac:dyDescent="0.2">
      <c r="A34" s="119"/>
      <c r="B34" s="64"/>
      <c r="C34" s="117"/>
      <c r="D34" s="117"/>
      <c r="E34" s="117"/>
      <c r="F34" s="117"/>
      <c r="G34" s="117"/>
      <c r="H34" s="64"/>
      <c r="I34" s="64"/>
      <c r="J34" s="64"/>
      <c r="K34" s="5"/>
    </row>
    <row r="35" spans="1:11" x14ac:dyDescent="0.2">
      <c r="A35" s="119"/>
      <c r="B35" s="64"/>
      <c r="C35" s="117"/>
      <c r="D35" s="117"/>
      <c r="E35" s="117"/>
      <c r="F35" s="117"/>
      <c r="G35" s="117"/>
      <c r="H35" s="64"/>
      <c r="I35" s="64"/>
      <c r="J35" s="64"/>
      <c r="K35" s="5"/>
    </row>
    <row r="36" spans="1:11" x14ac:dyDescent="0.2">
      <c r="A36" s="64"/>
      <c r="B36" s="117"/>
      <c r="C36" s="117"/>
      <c r="D36" s="64"/>
      <c r="E36" s="64"/>
      <c r="F36" s="64"/>
      <c r="G36" s="64"/>
      <c r="H36" s="64"/>
      <c r="I36" s="64"/>
      <c r="J36" s="64"/>
      <c r="K36" s="5"/>
    </row>
    <row r="37" spans="1:11" x14ac:dyDescent="0.2">
      <c r="A37" s="5"/>
      <c r="B37" s="5"/>
      <c r="C37" s="5"/>
      <c r="D37" s="5"/>
      <c r="E37" s="5"/>
      <c r="F37" s="64"/>
      <c r="G37" s="64"/>
      <c r="H37" s="64"/>
      <c r="I37" s="64"/>
      <c r="J37" s="64"/>
      <c r="K37" s="5"/>
    </row>
    <row r="38" spans="1:1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">
      <c r="A39" s="118"/>
      <c r="B39" s="64"/>
      <c r="C39" s="64"/>
      <c r="D39" s="64"/>
      <c r="E39" s="64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2">
      <c r="A42" s="5"/>
      <c r="B42" s="123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5"/>
    </row>
    <row r="44" spans="1:11" x14ac:dyDescent="0.2">
      <c r="A44" s="14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5.75" customHeight="1" x14ac:dyDescent="0.25">
      <c r="A47" s="102"/>
      <c r="B47" s="102"/>
      <c r="C47" s="102"/>
      <c r="D47" s="102"/>
      <c r="E47" s="102"/>
      <c r="F47" s="102"/>
      <c r="G47" s="102"/>
      <c r="H47" s="102"/>
      <c r="I47" s="68"/>
      <c r="J47" s="68"/>
      <c r="K47" s="5"/>
    </row>
    <row r="48" spans="1:11" ht="15.75" customHeight="1" x14ac:dyDescent="0.25">
      <c r="A48" s="102"/>
      <c r="B48" s="102"/>
      <c r="C48" s="102"/>
      <c r="D48" s="102"/>
      <c r="E48" s="102"/>
      <c r="F48" s="102"/>
      <c r="G48" s="102"/>
      <c r="H48" s="102"/>
      <c r="I48" s="124"/>
      <c r="J48" s="102"/>
      <c r="K48" s="5"/>
    </row>
    <row r="49" spans="1:1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5"/>
    </row>
    <row r="52" spans="1:11" x14ac:dyDescent="0.2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5"/>
    </row>
    <row r="53" spans="1:11" x14ac:dyDescent="0.2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5"/>
    </row>
  </sheetData>
  <mergeCells count="16">
    <mergeCell ref="B23:J23"/>
    <mergeCell ref="A5:C5"/>
    <mergeCell ref="A4:C4"/>
    <mergeCell ref="D5:E5"/>
    <mergeCell ref="F5:G5"/>
    <mergeCell ref="H5:I5"/>
    <mergeCell ref="J5:K5"/>
    <mergeCell ref="B22:G22"/>
    <mergeCell ref="A1:C3"/>
    <mergeCell ref="D1:K1"/>
    <mergeCell ref="D2:K2"/>
    <mergeCell ref="D3:K3"/>
    <mergeCell ref="D4:E4"/>
    <mergeCell ref="F4:G4"/>
    <mergeCell ref="H4:I4"/>
    <mergeCell ref="J4:K4"/>
  </mergeCells>
  <pageMargins left="0.74803149606299213" right="0.74803149606299213" top="0.98425196850393704" bottom="0.98425196850393704" header="0" footer="0"/>
  <pageSetup paperSize="9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3">
    <tabColor rgb="FF00B050"/>
    <pageSetUpPr fitToPage="1"/>
  </sheetPr>
  <dimension ref="A1:AF175"/>
  <sheetViews>
    <sheetView workbookViewId="0">
      <selection activeCell="J32" sqref="J32:M32"/>
    </sheetView>
    <sheetView tabSelected="1" topLeftCell="A147" workbookViewId="1">
      <selection sqref="A1:AK5"/>
    </sheetView>
  </sheetViews>
  <sheetFormatPr defaultColWidth="11.42578125" defaultRowHeight="12.75" x14ac:dyDescent="0.2"/>
  <cols>
    <col min="1" max="1" width="6.42578125" customWidth="1"/>
    <col min="2" max="3" width="9.140625" customWidth="1"/>
    <col min="4" max="4" width="12.140625" customWidth="1"/>
    <col min="5" max="5" width="11.85546875" customWidth="1"/>
    <col min="6" max="6" width="9.85546875" customWidth="1"/>
    <col min="7" max="7" width="10.85546875" customWidth="1"/>
    <col min="8" max="8" width="7.140625" customWidth="1"/>
    <col min="9" max="9" width="9.5703125" customWidth="1"/>
    <col min="10" max="10" width="13.42578125" customWidth="1"/>
    <col min="11" max="11" width="9.140625" customWidth="1"/>
    <col min="12" max="12" width="12.140625" customWidth="1"/>
    <col min="13" max="13" width="11.85546875" customWidth="1"/>
    <col min="14" max="14" width="9.85546875" customWidth="1"/>
    <col min="15" max="15" width="10.85546875" customWidth="1"/>
    <col min="16" max="16" width="7.140625" customWidth="1"/>
    <col min="17" max="17" width="11.140625" customWidth="1"/>
    <col min="18" max="18" width="11.85546875" customWidth="1"/>
    <col min="19" max="19" width="10.42578125" customWidth="1"/>
    <col min="20" max="20" width="11.85546875" customWidth="1"/>
    <col min="21" max="21" width="10.42578125" customWidth="1"/>
    <col min="24" max="24" width="10.42578125" customWidth="1"/>
    <col min="26" max="26" width="8.140625" customWidth="1"/>
    <col min="32" max="32" width="10.42578125" customWidth="1"/>
  </cols>
  <sheetData>
    <row r="1" spans="1:32" x14ac:dyDescent="0.2">
      <c r="A1" s="5"/>
      <c r="B1" s="5"/>
      <c r="C1" s="5"/>
      <c r="D1" s="5"/>
      <c r="E1" s="592" t="s">
        <v>1754</v>
      </c>
      <c r="F1" s="592" t="s">
        <v>1755</v>
      </c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x14ac:dyDescent="0.2">
      <c r="A2" s="5"/>
      <c r="B2" s="5"/>
      <c r="C2" s="5"/>
      <c r="D2" s="5"/>
      <c r="E2" s="266"/>
      <c r="F2" s="592" t="s">
        <v>1756</v>
      </c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x14ac:dyDescent="0.2">
      <c r="A3" s="5"/>
      <c r="B3" s="5"/>
      <c r="C3" s="5"/>
      <c r="D3" s="5"/>
      <c r="E3" s="266"/>
      <c r="F3" s="592" t="s">
        <v>1757</v>
      </c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x14ac:dyDescent="0.2">
      <c r="A4" s="5"/>
      <c r="B4" s="5"/>
      <c r="C4" s="5"/>
      <c r="D4" s="5"/>
      <c r="E4" s="266"/>
      <c r="F4" s="592" t="s">
        <v>1758</v>
      </c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13.5" customHeight="1" thickBo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7.25" customHeight="1" thickTop="1" thickBot="1" x14ac:dyDescent="0.3">
      <c r="A7" s="1029"/>
      <c r="B7" s="823"/>
      <c r="C7" s="871"/>
      <c r="D7" s="1030" t="str">
        <f>'Front Page'!$A$13</f>
        <v>Mechanical  Calculations</v>
      </c>
      <c r="E7" s="842"/>
      <c r="F7" s="842"/>
      <c r="G7" s="842"/>
      <c r="H7" s="859"/>
      <c r="I7" s="1029"/>
      <c r="J7" s="823"/>
      <c r="K7" s="871"/>
      <c r="L7" s="1030" t="str">
        <f>'Front Page'!$A$13</f>
        <v>Mechanical  Calculations</v>
      </c>
      <c r="M7" s="842"/>
      <c r="N7" s="842"/>
      <c r="O7" s="842"/>
      <c r="P7" s="859"/>
      <c r="Q7" s="1029"/>
      <c r="R7" s="823"/>
      <c r="S7" s="871"/>
      <c r="T7" s="1030" t="str">
        <f>'Front Page'!$A$13</f>
        <v>Mechanical  Calculations</v>
      </c>
      <c r="U7" s="842"/>
      <c r="V7" s="842"/>
      <c r="W7" s="842"/>
      <c r="X7" s="859"/>
      <c r="Y7" s="1029"/>
      <c r="Z7" s="823"/>
      <c r="AA7" s="871"/>
      <c r="AB7" s="1030" t="str">
        <f>'Front Page'!$A$13</f>
        <v>Mechanical  Calculations</v>
      </c>
      <c r="AC7" s="842"/>
      <c r="AD7" s="842"/>
      <c r="AE7" s="842"/>
      <c r="AF7" s="859"/>
    </row>
    <row r="8" spans="1:32" ht="16.5" customHeight="1" thickBot="1" x14ac:dyDescent="0.3">
      <c r="A8" s="825"/>
      <c r="B8" s="809"/>
      <c r="C8" s="989"/>
      <c r="D8" s="1031"/>
      <c r="E8" s="831"/>
      <c r="F8" s="831"/>
      <c r="G8" s="831"/>
      <c r="H8" s="854"/>
      <c r="I8" s="825"/>
      <c r="J8" s="809"/>
      <c r="K8" s="989"/>
      <c r="L8" s="1031"/>
      <c r="M8" s="831"/>
      <c r="N8" s="831"/>
      <c r="O8" s="831"/>
      <c r="P8" s="854"/>
      <c r="Q8" s="825"/>
      <c r="R8" s="809"/>
      <c r="S8" s="989"/>
      <c r="T8" s="1031"/>
      <c r="U8" s="831"/>
      <c r="V8" s="831"/>
      <c r="W8" s="831"/>
      <c r="X8" s="854"/>
      <c r="Y8" s="825"/>
      <c r="Z8" s="809"/>
      <c r="AA8" s="989"/>
      <c r="AB8" s="1031">
        <f>'Front Page'!$A$21</f>
        <v>0</v>
      </c>
      <c r="AC8" s="831"/>
      <c r="AD8" s="831"/>
      <c r="AE8" s="831"/>
      <c r="AF8" s="854"/>
    </row>
    <row r="9" spans="1:32" ht="16.5" customHeight="1" thickBot="1" x14ac:dyDescent="0.3">
      <c r="A9" s="882"/>
      <c r="B9" s="883"/>
      <c r="C9" s="884"/>
      <c r="D9" s="1032" t="s">
        <v>1759</v>
      </c>
      <c r="E9" s="848"/>
      <c r="F9" s="848"/>
      <c r="G9" s="848"/>
      <c r="H9" s="849"/>
      <c r="I9" s="882"/>
      <c r="J9" s="883"/>
      <c r="K9" s="884"/>
      <c r="L9" s="1032" t="s">
        <v>1759</v>
      </c>
      <c r="M9" s="848"/>
      <c r="N9" s="848"/>
      <c r="O9" s="848"/>
      <c r="P9" s="849"/>
      <c r="Q9" s="882"/>
      <c r="R9" s="883"/>
      <c r="S9" s="884"/>
      <c r="T9" s="1032" t="str">
        <f>D9</f>
        <v>Wind Forces</v>
      </c>
      <c r="U9" s="848"/>
      <c r="V9" s="848"/>
      <c r="W9" s="848"/>
      <c r="X9" s="849"/>
      <c r="Y9" s="882"/>
      <c r="Z9" s="883"/>
      <c r="AA9" s="884"/>
      <c r="AB9" s="1032" t="str">
        <f>T9</f>
        <v>Wind Forces</v>
      </c>
      <c r="AC9" s="848"/>
      <c r="AD9" s="848"/>
      <c r="AE9" s="848"/>
      <c r="AF9" s="849"/>
    </row>
    <row r="10" spans="1:32" ht="16.5" customHeight="1" thickTop="1" thickBot="1" x14ac:dyDescent="0.3">
      <c r="A10" s="1033"/>
      <c r="B10" s="812"/>
      <c r="C10" s="1034"/>
      <c r="D10" s="643" t="str">
        <f>'Front Page'!$D$4</f>
        <v>Doc Nº</v>
      </c>
      <c r="E10" s="980"/>
      <c r="F10" s="843"/>
      <c r="G10" s="846"/>
      <c r="H10" s="832"/>
      <c r="I10" s="1033"/>
      <c r="J10" s="812"/>
      <c r="K10" s="1034"/>
      <c r="L10" s="643" t="str">
        <f>'Front Page'!$D$4</f>
        <v>Doc Nº</v>
      </c>
      <c r="M10" s="980"/>
      <c r="N10" s="843"/>
      <c r="O10" s="846"/>
      <c r="P10" s="832"/>
      <c r="Q10" s="1033"/>
      <c r="R10" s="812"/>
      <c r="S10" s="1034"/>
      <c r="T10" s="643" t="str">
        <f>'Front Page'!$D$4</f>
        <v>Doc Nº</v>
      </c>
      <c r="U10" s="980"/>
      <c r="V10" s="843"/>
      <c r="W10" s="846"/>
      <c r="X10" s="832"/>
      <c r="Y10" s="1033"/>
      <c r="Z10" s="812"/>
      <c r="AA10" s="1034"/>
      <c r="AB10" s="643" t="str">
        <f>'Front Page'!$D$4</f>
        <v>Doc Nº</v>
      </c>
      <c r="AC10" s="980"/>
      <c r="AD10" s="843"/>
      <c r="AE10" s="846"/>
      <c r="AF10" s="832"/>
    </row>
    <row r="11" spans="1:32" ht="15.75" customHeight="1" thickBot="1" x14ac:dyDescent="0.3">
      <c r="A11" s="1035"/>
      <c r="B11" s="952"/>
      <c r="C11" s="1036"/>
      <c r="D11" s="644" t="str">
        <f>'Front Page'!$D$5</f>
        <v>Project</v>
      </c>
      <c r="E11" s="899"/>
      <c r="F11" s="835"/>
      <c r="G11" s="131" t="s">
        <v>5</v>
      </c>
      <c r="H11" s="132"/>
      <c r="I11" s="1035"/>
      <c r="J11" s="952"/>
      <c r="K11" s="1036"/>
      <c r="L11" s="644" t="str">
        <f>'Front Page'!$D$5</f>
        <v>Project</v>
      </c>
      <c r="M11" s="899"/>
      <c r="N11" s="835"/>
      <c r="O11" s="131" t="s">
        <v>5</v>
      </c>
      <c r="P11" s="427"/>
      <c r="Q11" s="1035"/>
      <c r="R11" s="952"/>
      <c r="S11" s="1036"/>
      <c r="T11" s="644" t="str">
        <f>'Front Page'!$D$5</f>
        <v>Project</v>
      </c>
      <c r="U11" s="899"/>
      <c r="V11" s="835"/>
      <c r="W11" s="131" t="s">
        <v>5</v>
      </c>
      <c r="X11" s="132"/>
      <c r="Y11" s="1035"/>
      <c r="Z11" s="952"/>
      <c r="AA11" s="1036"/>
      <c r="AB11" s="644" t="str">
        <f>'Front Page'!$D$5</f>
        <v>Project</v>
      </c>
      <c r="AC11" s="899"/>
      <c r="AD11" s="835"/>
      <c r="AE11" s="131" t="s">
        <v>5</v>
      </c>
      <c r="AF11" s="132"/>
    </row>
    <row r="12" spans="1:32" ht="13.5" customHeight="1" thickTop="1" x14ac:dyDescent="0.2">
      <c r="A12" s="4"/>
      <c r="B12" s="4"/>
      <c r="C12" s="4"/>
      <c r="D12" s="4"/>
      <c r="E12" s="4"/>
      <c r="F12" s="4"/>
      <c r="G12" s="4"/>
      <c r="H12" s="5"/>
      <c r="I12" s="4"/>
      <c r="J12" s="4"/>
      <c r="K12" s="4"/>
      <c r="L12" s="4"/>
      <c r="M12" s="4"/>
      <c r="N12" s="4"/>
      <c r="O12" s="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8.75" customHeight="1" x14ac:dyDescent="0.3">
      <c r="A13" s="134" t="s">
        <v>1760</v>
      </c>
      <c r="B13" s="5"/>
      <c r="C13" s="5"/>
      <c r="D13" s="5"/>
      <c r="E13" s="5"/>
      <c r="F13" s="5"/>
      <c r="G13" s="5"/>
      <c r="H13" s="5"/>
      <c r="I13" s="134" t="s">
        <v>1761</v>
      </c>
      <c r="J13" s="5"/>
      <c r="K13" s="5"/>
      <c r="L13" s="5"/>
      <c r="M13" s="5"/>
      <c r="N13" s="5"/>
      <c r="O13" s="5"/>
      <c r="P13" s="5"/>
      <c r="Q13" s="645" t="s">
        <v>1762</v>
      </c>
      <c r="R13" s="5"/>
      <c r="S13" s="5"/>
      <c r="T13" s="5"/>
      <c r="U13" s="5"/>
      <c r="V13" s="5"/>
      <c r="W13" s="5"/>
      <c r="X13" s="5"/>
      <c r="Y13" s="645" t="s">
        <v>1763</v>
      </c>
      <c r="Z13" s="5"/>
      <c r="AA13" s="5"/>
      <c r="AB13" s="5"/>
      <c r="AC13" s="5"/>
      <c r="AD13" s="5"/>
      <c r="AE13" s="5"/>
      <c r="AF13" s="5"/>
    </row>
    <row r="14" spans="1:32" ht="18.75" customHeight="1" x14ac:dyDescent="0.3">
      <c r="A14" s="134"/>
      <c r="B14" s="5"/>
      <c r="C14" s="5"/>
      <c r="D14" s="5"/>
      <c r="E14" s="5"/>
      <c r="F14" s="5"/>
      <c r="G14" s="5"/>
      <c r="H14" s="5"/>
      <c r="I14" s="134"/>
      <c r="J14" s="5"/>
      <c r="K14" s="5"/>
      <c r="L14" s="5"/>
      <c r="M14" s="5"/>
      <c r="N14" s="5"/>
      <c r="O14" s="5"/>
      <c r="P14" s="5"/>
      <c r="Q14" s="645"/>
      <c r="R14" s="5"/>
      <c r="S14" s="5"/>
      <c r="T14" s="5"/>
      <c r="U14" s="5"/>
      <c r="V14" s="5"/>
      <c r="W14" s="5"/>
      <c r="X14" s="5"/>
      <c r="Y14" s="645"/>
      <c r="Z14" s="5"/>
      <c r="AA14" s="5"/>
      <c r="AB14" s="5"/>
      <c r="AC14" s="5"/>
      <c r="AD14" s="5"/>
      <c r="AE14" s="5"/>
      <c r="AF14" s="5"/>
    </row>
    <row r="15" spans="1:32" ht="17.25" customHeight="1" x14ac:dyDescent="0.3">
      <c r="A15" s="118" t="s">
        <v>1764</v>
      </c>
      <c r="B15" s="5"/>
      <c r="C15" s="5"/>
      <c r="D15" s="5"/>
      <c r="E15" s="5"/>
      <c r="F15" s="5"/>
      <c r="G15" s="5"/>
      <c r="H15" s="5"/>
      <c r="I15" s="118" t="s">
        <v>1764</v>
      </c>
      <c r="J15" s="5"/>
      <c r="K15" s="5"/>
      <c r="L15" s="5"/>
      <c r="M15" s="5"/>
      <c r="N15" s="5"/>
      <c r="O15" s="5"/>
      <c r="P15" s="5"/>
      <c r="Q15" s="646" t="s">
        <v>1765</v>
      </c>
      <c r="R15" s="5"/>
      <c r="S15" s="5"/>
      <c r="T15" s="5"/>
      <c r="U15" s="5"/>
      <c r="V15" s="5"/>
      <c r="W15" s="5"/>
      <c r="X15" s="5"/>
      <c r="Y15" s="646"/>
      <c r="Z15" s="5"/>
      <c r="AA15" s="5"/>
      <c r="AB15" s="5"/>
      <c r="AC15" s="5"/>
      <c r="AD15" s="5"/>
      <c r="AE15" s="5"/>
      <c r="AF15" s="5"/>
    </row>
    <row r="16" spans="1:32" ht="1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46"/>
      <c r="R16" s="5"/>
      <c r="S16" s="5"/>
      <c r="T16" s="5"/>
      <c r="U16" s="5"/>
      <c r="V16" s="5"/>
      <c r="W16" s="5"/>
      <c r="X16" s="5"/>
      <c r="Y16" s="647" t="s">
        <v>1766</v>
      </c>
      <c r="Z16" s="265">
        <f>'Design Conditions'!J31*9.8/1000</f>
        <v>0.23921800000000001</v>
      </c>
      <c r="AA16" s="64" t="s">
        <v>1580</v>
      </c>
      <c r="AB16" s="900" t="s">
        <v>1767</v>
      </c>
      <c r="AC16" s="809"/>
      <c r="AD16" s="809"/>
      <c r="AE16" s="809"/>
      <c r="AF16" s="5"/>
    </row>
    <row r="17" spans="1:32" ht="15.75" customHeight="1" x14ac:dyDescent="0.2">
      <c r="A17" s="5" t="s">
        <v>463</v>
      </c>
      <c r="B17" s="389">
        <f>'Main Dimensions Calcs'!D32/1000</f>
        <v>23.4</v>
      </c>
      <c r="C17" s="117" t="s">
        <v>1768</v>
      </c>
      <c r="D17" s="5"/>
      <c r="E17" s="5"/>
      <c r="F17" s="5"/>
      <c r="G17" s="5"/>
      <c r="H17" s="5"/>
      <c r="I17" s="5" t="s">
        <v>463</v>
      </c>
      <c r="J17" s="426">
        <f>B17*1000/25.4</f>
        <v>921.25984251968509</v>
      </c>
      <c r="K17" s="5" t="s">
        <v>1769</v>
      </c>
      <c r="L17" s="5"/>
      <c r="M17" s="5"/>
      <c r="N17" s="5"/>
      <c r="O17" s="5"/>
      <c r="P17" s="5"/>
      <c r="Q17" s="5"/>
      <c r="R17" s="1046" t="s">
        <v>1770</v>
      </c>
      <c r="S17" s="812"/>
      <c r="T17" s="812"/>
      <c r="U17" s="813"/>
      <c r="V17" s="1046" t="s">
        <v>1771</v>
      </c>
      <c r="W17" s="813"/>
      <c r="X17" s="5"/>
      <c r="Y17" s="5"/>
      <c r="Z17" s="5"/>
      <c r="AA17" s="5"/>
      <c r="AB17" s="809"/>
      <c r="AC17" s="809"/>
      <c r="AD17" s="809"/>
      <c r="AE17" s="809"/>
      <c r="AF17" s="64"/>
    </row>
    <row r="18" spans="1:32" ht="13.5" customHeight="1" x14ac:dyDescent="0.2">
      <c r="A18" s="5" t="s">
        <v>1772</v>
      </c>
      <c r="B18" s="389">
        <f>'Main Dimensions Calcs'!H25</f>
        <v>6</v>
      </c>
      <c r="C18" s="117" t="s">
        <v>1773</v>
      </c>
      <c r="D18" s="5"/>
      <c r="E18" s="5"/>
      <c r="F18" s="5"/>
      <c r="G18" s="5"/>
      <c r="H18" s="5"/>
      <c r="I18" s="5" t="s">
        <v>1772</v>
      </c>
      <c r="J18" s="426">
        <f>B18/25.4</f>
        <v>0.23622047244094491</v>
      </c>
      <c r="K18" s="5" t="s">
        <v>1774</v>
      </c>
      <c r="L18" s="5"/>
      <c r="M18" s="5"/>
      <c r="N18" s="5"/>
      <c r="O18" s="5"/>
      <c r="P18" s="5"/>
      <c r="Q18" s="5"/>
      <c r="R18" s="1038" t="s">
        <v>1775</v>
      </c>
      <c r="S18" s="812"/>
      <c r="T18" s="812"/>
      <c r="U18" s="813"/>
      <c r="V18" s="648">
        <v>1.25</v>
      </c>
      <c r="W18" s="648" t="s">
        <v>304</v>
      </c>
      <c r="X18" s="5"/>
      <c r="Y18" s="64" t="s">
        <v>1776</v>
      </c>
      <c r="Z18" s="64">
        <v>1</v>
      </c>
      <c r="AA18" s="64" t="s">
        <v>1777</v>
      </c>
      <c r="AB18" s="64"/>
      <c r="AC18" s="64"/>
      <c r="AD18" s="64"/>
      <c r="AE18" s="64"/>
      <c r="AF18" s="64"/>
    </row>
    <row r="19" spans="1:32" ht="13.5" customHeight="1" x14ac:dyDescent="0.2">
      <c r="A19" s="5" t="s">
        <v>1728</v>
      </c>
      <c r="B19" s="389">
        <f>'Main Dimensions Calcs'!D33/1000</f>
        <v>19.399999999999999</v>
      </c>
      <c r="C19" s="117" t="s">
        <v>1778</v>
      </c>
      <c r="D19" s="5"/>
      <c r="E19" s="5"/>
      <c r="F19" s="5"/>
      <c r="G19" s="5"/>
      <c r="H19" s="5"/>
      <c r="I19" s="5" t="s">
        <v>1728</v>
      </c>
      <c r="J19" s="426">
        <f>B19*1000/25.4</f>
        <v>763.77952755905517</v>
      </c>
      <c r="K19" s="5" t="s">
        <v>1779</v>
      </c>
      <c r="L19" s="5"/>
      <c r="M19" s="5"/>
      <c r="N19" s="5"/>
      <c r="O19" s="5"/>
      <c r="P19" s="5"/>
      <c r="Q19" s="5"/>
      <c r="R19" s="1038" t="s">
        <v>1780</v>
      </c>
      <c r="S19" s="812"/>
      <c r="T19" s="812"/>
      <c r="U19" s="813"/>
      <c r="V19" s="648">
        <f>'Main Dimensions Calcs'!D34/1000</f>
        <v>0</v>
      </c>
      <c r="W19" s="648" t="s">
        <v>408</v>
      </c>
      <c r="X19" s="5"/>
      <c r="Y19" s="64" t="s">
        <v>1781</v>
      </c>
      <c r="Z19" s="64">
        <v>1</v>
      </c>
      <c r="AA19" s="64" t="s">
        <v>1782</v>
      </c>
      <c r="AB19" s="64"/>
      <c r="AC19" s="64"/>
      <c r="AD19" s="64"/>
      <c r="AE19" s="64"/>
      <c r="AF19" s="64"/>
    </row>
    <row r="20" spans="1:32" ht="13.5" customHeight="1" x14ac:dyDescent="0.2">
      <c r="A20" s="5" t="s">
        <v>1783</v>
      </c>
      <c r="B20" s="433">
        <v>3</v>
      </c>
      <c r="C20" s="64" t="s">
        <v>1784</v>
      </c>
      <c r="D20" s="5"/>
      <c r="E20" s="5"/>
      <c r="F20" s="5"/>
      <c r="G20" s="5"/>
      <c r="H20" s="5"/>
      <c r="I20" s="5" t="s">
        <v>1783</v>
      </c>
      <c r="J20" s="426">
        <f>+B20*1000/25.4</f>
        <v>118.11023622047244</v>
      </c>
      <c r="K20" s="64" t="s">
        <v>1785</v>
      </c>
      <c r="L20" s="5"/>
      <c r="M20" s="5"/>
      <c r="N20" s="5"/>
      <c r="O20" s="5"/>
      <c r="P20" s="5"/>
      <c r="Q20" s="5"/>
      <c r="R20" s="1038" t="s">
        <v>1786</v>
      </c>
      <c r="S20" s="812"/>
      <c r="T20" s="812"/>
      <c r="U20" s="813"/>
      <c r="V20" s="648">
        <f>B25</f>
        <v>66.61</v>
      </c>
      <c r="W20" s="648" t="s">
        <v>1787</v>
      </c>
      <c r="X20" s="5"/>
      <c r="Y20" s="649" t="s">
        <v>1070</v>
      </c>
      <c r="Z20" s="64">
        <v>0.8</v>
      </c>
      <c r="AA20" s="64" t="s">
        <v>1788</v>
      </c>
      <c r="AB20" s="64"/>
      <c r="AC20" s="64"/>
      <c r="AD20" s="64"/>
      <c r="AE20" s="64"/>
      <c r="AF20" s="64"/>
    </row>
    <row r="21" spans="1:32" ht="13.5" customHeight="1" x14ac:dyDescent="0.2">
      <c r="A21" s="5" t="s">
        <v>1617</v>
      </c>
      <c r="B21" s="332">
        <f>+'Main Dimensions Calcs'!D30/1000</f>
        <v>8.9130432931562744</v>
      </c>
      <c r="C21" s="64" t="s">
        <v>1789</v>
      </c>
      <c r="D21" s="5"/>
      <c r="E21" s="5"/>
      <c r="F21" s="5"/>
      <c r="G21" s="5"/>
      <c r="H21" s="5"/>
      <c r="I21" s="5" t="s">
        <v>1617</v>
      </c>
      <c r="J21" s="426">
        <f>+B21*1000/25.4</f>
        <v>350.90721626599503</v>
      </c>
      <c r="K21" s="64" t="s">
        <v>1790</v>
      </c>
      <c r="L21" s="5"/>
      <c r="M21" s="5"/>
      <c r="N21" s="5"/>
      <c r="O21" s="5"/>
      <c r="P21" s="5"/>
      <c r="Q21" s="5"/>
      <c r="R21" s="1038" t="s">
        <v>1791</v>
      </c>
      <c r="S21" s="812"/>
      <c r="T21" s="812"/>
      <c r="U21" s="813"/>
      <c r="V21" s="648">
        <f>'Main Dimensions Calcs'!D32/1000</f>
        <v>23.4</v>
      </c>
      <c r="W21" s="648" t="s">
        <v>408</v>
      </c>
      <c r="X21" s="5"/>
      <c r="Y21" s="64"/>
      <c r="Z21" s="64"/>
      <c r="AA21" s="64"/>
      <c r="AB21" s="64"/>
      <c r="AC21" s="64"/>
      <c r="AD21" s="64"/>
      <c r="AE21" s="64"/>
      <c r="AF21" s="64"/>
    </row>
    <row r="22" spans="1:32" ht="13.5" customHeight="1" x14ac:dyDescent="0.2">
      <c r="A22" s="5" t="s">
        <v>1475</v>
      </c>
      <c r="B22" s="332">
        <f>+'Main Dimensions Calcs'!D31/1000</f>
        <v>3.9251817458168516</v>
      </c>
      <c r="C22" s="64" t="s">
        <v>1792</v>
      </c>
      <c r="D22" s="5"/>
      <c r="E22" s="5"/>
      <c r="F22" s="5"/>
      <c r="G22" s="5"/>
      <c r="H22" s="5"/>
      <c r="I22" s="5" t="s">
        <v>1475</v>
      </c>
      <c r="J22" s="426">
        <f>+B22*1000/25.4</f>
        <v>154.53471440223825</v>
      </c>
      <c r="K22" s="64" t="s">
        <v>1793</v>
      </c>
      <c r="L22" s="5"/>
      <c r="M22" s="5"/>
      <c r="N22" s="5"/>
      <c r="O22" s="5"/>
      <c r="P22" s="5"/>
      <c r="Q22" s="5"/>
      <c r="R22" s="1038" t="s">
        <v>1794</v>
      </c>
      <c r="S22" s="812"/>
      <c r="T22" s="812"/>
      <c r="U22" s="813"/>
      <c r="V22" s="648">
        <v>1.5E-5</v>
      </c>
      <c r="W22" s="648" t="s">
        <v>1795</v>
      </c>
      <c r="X22" s="5"/>
      <c r="Y22" s="64" t="s">
        <v>636</v>
      </c>
      <c r="Z22" s="346">
        <f>Z16*Z18*Z19*Z20</f>
        <v>0.19137440000000003</v>
      </c>
      <c r="AA22" s="64" t="s">
        <v>1580</v>
      </c>
      <c r="AB22" s="64" t="s">
        <v>1796</v>
      </c>
      <c r="AC22" s="64"/>
      <c r="AD22" s="64"/>
      <c r="AE22" s="64"/>
      <c r="AF22" s="64"/>
    </row>
    <row r="23" spans="1:32" ht="13.5" customHeight="1" x14ac:dyDescent="0.2">
      <c r="A23" s="5" t="s">
        <v>1797</v>
      </c>
      <c r="B23" s="332">
        <f>+B21+B22</f>
        <v>12.838225038973127</v>
      </c>
      <c r="C23" s="64" t="s">
        <v>1798</v>
      </c>
      <c r="D23" s="5"/>
      <c r="E23" s="5"/>
      <c r="F23" s="5"/>
      <c r="G23" s="5"/>
      <c r="H23" s="5"/>
      <c r="I23" s="5" t="s">
        <v>1797</v>
      </c>
      <c r="J23" s="426">
        <f>B23*1000/25.4</f>
        <v>505.4419306682334</v>
      </c>
      <c r="K23" s="64" t="s">
        <v>1799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64"/>
      <c r="Z23" s="64"/>
      <c r="AA23" s="64"/>
      <c r="AB23" s="64"/>
      <c r="AC23" s="64"/>
      <c r="AD23" s="64"/>
      <c r="AE23" s="64"/>
      <c r="AF23" s="64"/>
    </row>
    <row r="24" spans="1:32" ht="13.5" customHeight="1" x14ac:dyDescent="0.25">
      <c r="A24" s="5" t="s">
        <v>911</v>
      </c>
      <c r="B24" s="391">
        <f>+B20+B21+B22</f>
        <v>15.838225038973127</v>
      </c>
      <c r="C24" s="117" t="s">
        <v>1800</v>
      </c>
      <c r="D24" s="5"/>
      <c r="E24" s="5"/>
      <c r="F24" s="5"/>
      <c r="G24" s="5"/>
      <c r="H24" s="5"/>
      <c r="I24" s="5" t="s">
        <v>911</v>
      </c>
      <c r="J24" s="426">
        <f>+B24*1000/25.4</f>
        <v>623.55216688870587</v>
      </c>
      <c r="K24" s="64" t="s">
        <v>1801</v>
      </c>
      <c r="L24" s="5"/>
      <c r="M24" s="5"/>
      <c r="N24" s="5"/>
      <c r="O24" s="5"/>
      <c r="P24" s="5"/>
      <c r="Q24" s="820" t="s">
        <v>1802</v>
      </c>
      <c r="R24" s="809"/>
      <c r="S24" s="809"/>
      <c r="T24" s="809"/>
      <c r="U24" s="809"/>
      <c r="V24" s="809"/>
      <c r="W24" s="809"/>
      <c r="X24" s="809"/>
      <c r="Y24" s="64"/>
      <c r="Z24" s="64"/>
      <c r="AA24" s="64"/>
      <c r="AB24" s="64"/>
      <c r="AC24" s="64"/>
      <c r="AD24" s="64"/>
      <c r="AE24" s="64"/>
      <c r="AF24" s="64"/>
    </row>
    <row r="25" spans="1:32" ht="13.5" customHeight="1" x14ac:dyDescent="0.25">
      <c r="A25" s="5" t="s">
        <v>1803</v>
      </c>
      <c r="B25" s="389">
        <f>'Design Conditions'!J28</f>
        <v>66.61</v>
      </c>
      <c r="C25" s="5" t="s">
        <v>1804</v>
      </c>
      <c r="D25" s="5"/>
      <c r="E25" s="5"/>
      <c r="F25" s="5"/>
      <c r="G25" s="5"/>
      <c r="H25" s="5"/>
      <c r="I25" s="5" t="s">
        <v>1803</v>
      </c>
      <c r="J25" s="426">
        <f>'Design Conditions'!K28</f>
        <v>149</v>
      </c>
      <c r="K25" s="5" t="s">
        <v>1805</v>
      </c>
      <c r="L25" s="5"/>
      <c r="M25" s="5"/>
      <c r="N25" s="5"/>
      <c r="O25" s="5"/>
      <c r="P25" s="5"/>
      <c r="Q25" s="43"/>
      <c r="R25" s="43"/>
      <c r="S25" s="43"/>
      <c r="T25" s="43"/>
      <c r="U25" s="43"/>
      <c r="V25" s="43"/>
      <c r="W25" s="43"/>
      <c r="X25" s="43"/>
      <c r="Y25" s="64"/>
      <c r="Z25" s="64"/>
      <c r="AA25" s="64"/>
      <c r="AB25" s="64"/>
      <c r="AC25" s="64"/>
      <c r="AD25" s="64"/>
      <c r="AE25" s="64"/>
      <c r="AF25" s="64"/>
    </row>
    <row r="26" spans="1:32" ht="13.5" customHeight="1" x14ac:dyDescent="0.25">
      <c r="A26" s="5" t="s">
        <v>1427</v>
      </c>
      <c r="B26" s="265">
        <f>B23*(B17+2*B18/1000)</f>
        <v>300.56852461243881</v>
      </c>
      <c r="C26" s="64" t="s">
        <v>1806</v>
      </c>
      <c r="D26" s="5"/>
      <c r="E26" s="5"/>
      <c r="F26" s="5"/>
      <c r="G26" s="5"/>
      <c r="H26" s="5"/>
      <c r="I26" s="5" t="s">
        <v>1427</v>
      </c>
      <c r="J26" s="332">
        <f>+B26*10000/(25.4*25.4)</f>
        <v>4658.8214491357003</v>
      </c>
      <c r="K26" s="64" t="s">
        <v>1807</v>
      </c>
      <c r="L26" s="5"/>
      <c r="M26" s="5"/>
      <c r="N26" s="5"/>
      <c r="O26" s="5"/>
      <c r="P26" s="5"/>
      <c r="Q26" s="43"/>
      <c r="R26" s="43"/>
      <c r="S26" s="43"/>
      <c r="T26" s="43"/>
      <c r="U26" s="43"/>
      <c r="V26" s="43"/>
      <c r="W26" s="43"/>
      <c r="X26" s="43"/>
      <c r="Y26" s="64"/>
      <c r="Z26" s="64"/>
      <c r="AA26" s="64"/>
      <c r="AB26" s="64"/>
      <c r="AC26" s="64"/>
      <c r="AD26" s="64"/>
      <c r="AE26" s="64"/>
      <c r="AF26" s="64"/>
    </row>
    <row r="27" spans="1:32" ht="13.5" customHeight="1" x14ac:dyDescent="0.2">
      <c r="A27" s="998" t="s">
        <v>1808</v>
      </c>
      <c r="B27" s="809"/>
      <c r="C27" s="809"/>
      <c r="D27" s="809"/>
      <c r="E27" s="809"/>
      <c r="F27" s="809"/>
      <c r="G27" s="809"/>
      <c r="H27" s="248"/>
      <c r="I27" s="998" t="s">
        <v>1808</v>
      </c>
      <c r="J27" s="809"/>
      <c r="K27" s="809"/>
      <c r="L27" s="809"/>
      <c r="M27" s="809"/>
      <c r="N27" s="809"/>
      <c r="O27" s="809"/>
      <c r="P27" s="5"/>
      <c r="Q27" s="5"/>
      <c r="R27" s="5"/>
      <c r="S27" s="5"/>
      <c r="T27" s="5"/>
      <c r="U27" s="5"/>
      <c r="V27" s="5"/>
      <c r="W27" s="5"/>
      <c r="X27" s="5"/>
      <c r="Y27" s="64"/>
      <c r="Z27" s="64"/>
      <c r="AA27" s="64"/>
      <c r="AB27" s="64"/>
      <c r="AC27" s="64"/>
      <c r="AD27" s="64"/>
      <c r="AE27" s="64"/>
      <c r="AF27" s="64"/>
    </row>
    <row r="28" spans="1:32" ht="12.75" customHeight="1" x14ac:dyDescent="0.2">
      <c r="A28" s="809"/>
      <c r="B28" s="809"/>
      <c r="C28" s="809"/>
      <c r="D28" s="809"/>
      <c r="E28" s="809"/>
      <c r="F28" s="809"/>
      <c r="G28" s="809"/>
      <c r="H28" s="5"/>
      <c r="I28" s="809"/>
      <c r="J28" s="809"/>
      <c r="K28" s="809"/>
      <c r="L28" s="809"/>
      <c r="M28" s="809"/>
      <c r="N28" s="809"/>
      <c r="O28" s="809"/>
      <c r="P28" s="5"/>
      <c r="Q28" s="5"/>
      <c r="R28" s="5" t="s">
        <v>1809</v>
      </c>
      <c r="S28" s="5">
        <v>2.4</v>
      </c>
      <c r="T28" s="64" t="s">
        <v>1810</v>
      </c>
      <c r="U28" s="5"/>
      <c r="V28" s="5"/>
      <c r="W28" s="5"/>
      <c r="X28" s="5"/>
      <c r="Y28" s="64"/>
      <c r="Z28" s="64"/>
      <c r="AA28" s="64"/>
      <c r="AB28" s="64"/>
      <c r="AC28" s="64"/>
      <c r="AD28" s="64"/>
      <c r="AE28" s="64"/>
      <c r="AF28" s="64"/>
    </row>
    <row r="29" spans="1:32" ht="12.75" customHeight="1" x14ac:dyDescent="0.2">
      <c r="A29" s="226"/>
      <c r="B29" s="265"/>
      <c r="C29" s="460"/>
      <c r="D29" s="460"/>
      <c r="E29" s="460"/>
      <c r="F29" s="460"/>
      <c r="G29" s="460"/>
      <c r="H29" s="460"/>
      <c r="I29" s="226"/>
      <c r="J29" s="265"/>
      <c r="K29" s="460"/>
      <c r="L29" s="460"/>
      <c r="M29" s="460"/>
      <c r="N29" s="460"/>
      <c r="O29" s="460"/>
      <c r="P29" s="460"/>
      <c r="Q29" s="5"/>
      <c r="R29" s="5" t="s">
        <v>1811</v>
      </c>
      <c r="S29" s="5">
        <f>0.5*V18*V20^2</f>
        <v>2773.0575625000001</v>
      </c>
      <c r="T29" s="5" t="s">
        <v>1015</v>
      </c>
      <c r="U29" s="5"/>
      <c r="V29" s="5"/>
      <c r="W29" s="5"/>
      <c r="X29" s="5"/>
      <c r="Y29" s="64"/>
      <c r="Z29" s="64"/>
      <c r="AA29" s="64"/>
      <c r="AB29" s="64"/>
      <c r="AC29" s="64"/>
      <c r="AD29" s="64"/>
      <c r="AE29" s="64"/>
      <c r="AF29" s="64"/>
    </row>
    <row r="30" spans="1:32" ht="12.75" customHeight="1" x14ac:dyDescent="0.2">
      <c r="A30" s="226"/>
      <c r="B30" s="265"/>
      <c r="C30" s="460"/>
      <c r="D30" s="460"/>
      <c r="E30" s="460"/>
      <c r="F30" s="460"/>
      <c r="G30" s="460"/>
      <c r="H30" s="460"/>
      <c r="I30" s="226"/>
      <c r="J30" s="265"/>
      <c r="K30" s="460"/>
      <c r="L30" s="460"/>
      <c r="M30" s="460"/>
      <c r="N30" s="460"/>
      <c r="O30" s="460"/>
      <c r="P30" s="460"/>
      <c r="Q30" s="5"/>
      <c r="R30" s="5" t="s">
        <v>1812</v>
      </c>
      <c r="S30" s="5">
        <f>S29*S28</f>
        <v>6655.3381500000005</v>
      </c>
      <c r="T30" s="5" t="s">
        <v>1015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ht="12.75" customHeight="1" x14ac:dyDescent="0.2">
      <c r="A31" s="226"/>
      <c r="B31" s="265"/>
      <c r="C31" s="460"/>
      <c r="D31" s="460"/>
      <c r="E31" s="460"/>
      <c r="F31" s="460"/>
      <c r="G31" s="460"/>
      <c r="H31" s="460"/>
      <c r="I31" s="226"/>
      <c r="J31" s="265"/>
      <c r="K31" s="460"/>
      <c r="L31" s="460"/>
      <c r="M31" s="460"/>
      <c r="N31" s="460"/>
      <c r="O31" s="460"/>
      <c r="P31" s="460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29.25" customHeight="1" x14ac:dyDescent="0.2">
      <c r="A32" s="226"/>
      <c r="B32" s="932" t="s">
        <v>1813</v>
      </c>
      <c r="C32" s="809"/>
      <c r="D32" s="809"/>
      <c r="E32" s="809"/>
      <c r="F32" s="64">
        <f>1.48*($B$25*2.237/120)^2</f>
        <v>2.2819706733808376</v>
      </c>
      <c r="G32" s="5" t="s">
        <v>1814</v>
      </c>
      <c r="H32" s="460"/>
      <c r="I32" s="226"/>
      <c r="J32" s="1037" t="s">
        <v>1815</v>
      </c>
      <c r="K32" s="809"/>
      <c r="L32" s="809"/>
      <c r="M32" s="809"/>
      <c r="N32" s="332">
        <f>F32*20.885</f>
        <v>47.658957513558796</v>
      </c>
      <c r="O32" s="64" t="s">
        <v>1816</v>
      </c>
      <c r="P32" s="460"/>
      <c r="Q32" s="64" t="s">
        <v>1817</v>
      </c>
      <c r="R32" s="5"/>
      <c r="S32" s="5"/>
      <c r="T32" s="5"/>
      <c r="U32" s="5"/>
      <c r="V32" s="5"/>
      <c r="W32" s="5"/>
      <c r="X32" s="5"/>
      <c r="Y32" s="64"/>
      <c r="Z32" s="5"/>
      <c r="AA32" s="5"/>
      <c r="AB32" s="5"/>
      <c r="AC32" s="5"/>
      <c r="AD32" s="5"/>
      <c r="AE32" s="5"/>
      <c r="AF32" s="5"/>
    </row>
    <row r="33" spans="1:32" ht="26.25" customHeight="1" x14ac:dyDescent="0.25">
      <c r="A33" s="226"/>
      <c r="B33" s="932" t="s">
        <v>1818</v>
      </c>
      <c r="C33" s="809"/>
      <c r="D33" s="809"/>
      <c r="E33" s="809"/>
      <c r="F33" s="64">
        <f>2.39*($B$25*2.237/120)^2</f>
        <v>3.6850742630947311</v>
      </c>
      <c r="G33" s="5" t="s">
        <v>1814</v>
      </c>
      <c r="H33" s="460"/>
      <c r="I33" s="226"/>
      <c r="J33" s="1037" t="s">
        <v>1819</v>
      </c>
      <c r="K33" s="809"/>
      <c r="L33" s="809"/>
      <c r="M33" s="809"/>
      <c r="N33" s="332">
        <f>F33*20.885</f>
        <v>76.962775984733469</v>
      </c>
      <c r="O33" s="64" t="s">
        <v>1816</v>
      </c>
      <c r="P33" s="460"/>
      <c r="Q33" s="5"/>
      <c r="R33" s="64" t="s">
        <v>1820</v>
      </c>
      <c r="S33" s="5"/>
      <c r="T33" s="5"/>
      <c r="U33" s="650"/>
      <c r="V33" s="5"/>
      <c r="W33" s="5" t="s">
        <v>1821</v>
      </c>
      <c r="X33" s="5"/>
      <c r="Y33" s="5"/>
      <c r="Z33" s="64"/>
      <c r="AA33" s="5"/>
      <c r="AB33" s="5"/>
      <c r="AC33" s="650"/>
      <c r="AD33" s="5"/>
      <c r="AE33" s="5"/>
      <c r="AF33" s="5"/>
    </row>
    <row r="34" spans="1:32" ht="15" customHeight="1" x14ac:dyDescent="0.25">
      <c r="A34" s="226"/>
      <c r="B34" s="388"/>
      <c r="C34" s="388"/>
      <c r="D34" s="248"/>
      <c r="E34" s="5"/>
      <c r="F34" s="5"/>
      <c r="G34" s="5"/>
      <c r="H34" s="460"/>
      <c r="I34" s="226"/>
      <c r="J34" s="388"/>
      <c r="K34" s="388"/>
      <c r="L34" s="248"/>
      <c r="M34" s="5"/>
      <c r="N34" s="332"/>
      <c r="O34" s="5"/>
      <c r="P34" s="460"/>
      <c r="Q34" s="5"/>
      <c r="R34" s="64" t="s">
        <v>1822</v>
      </c>
      <c r="S34" s="5"/>
      <c r="T34" s="5"/>
      <c r="U34" s="5"/>
      <c r="V34" s="650"/>
      <c r="W34" s="5" t="s">
        <v>1823</v>
      </c>
      <c r="X34" s="5"/>
      <c r="Y34" s="5"/>
      <c r="Z34" s="64"/>
      <c r="AA34" s="5"/>
      <c r="AB34" s="5"/>
      <c r="AC34" s="5"/>
      <c r="AD34" s="650"/>
      <c r="AE34" s="5"/>
      <c r="AF34" s="5"/>
    </row>
    <row r="35" spans="1:32" ht="29.25" customHeight="1" x14ac:dyDescent="0.25">
      <c r="A35" s="226"/>
      <c r="B35" s="932" t="s">
        <v>1824</v>
      </c>
      <c r="C35" s="809"/>
      <c r="D35" s="809"/>
      <c r="E35" s="809"/>
      <c r="F35" s="64">
        <f>0.77*($B$25*2.237/120)^2</f>
        <v>1.187241498988679</v>
      </c>
      <c r="G35" s="5" t="s">
        <v>1814</v>
      </c>
      <c r="H35" s="460"/>
      <c r="I35" s="226"/>
      <c r="J35" s="1037" t="s">
        <v>1825</v>
      </c>
      <c r="K35" s="809"/>
      <c r="L35" s="809"/>
      <c r="M35" s="809"/>
      <c r="N35" s="332">
        <f>F35*20.885</f>
        <v>24.795538706378565</v>
      </c>
      <c r="O35" s="64" t="s">
        <v>1816</v>
      </c>
      <c r="P35" s="460"/>
      <c r="Q35" s="5"/>
      <c r="R35" s="64" t="s">
        <v>1826</v>
      </c>
      <c r="S35" s="5"/>
      <c r="T35" s="5"/>
      <c r="U35" s="5"/>
      <c r="V35" s="650"/>
      <c r="W35" s="5" t="s">
        <v>1827</v>
      </c>
      <c r="X35" s="5"/>
      <c r="Y35" s="5"/>
      <c r="Z35" s="64"/>
      <c r="AA35" s="5"/>
      <c r="AB35" s="5"/>
      <c r="AC35" s="5"/>
      <c r="AD35" s="650"/>
      <c r="AE35" s="5"/>
      <c r="AF35" s="5"/>
    </row>
    <row r="36" spans="1:32" ht="28.5" customHeight="1" x14ac:dyDescent="0.2">
      <c r="A36" s="226"/>
      <c r="B36" s="932" t="s">
        <v>1828</v>
      </c>
      <c r="C36" s="809"/>
      <c r="D36" s="809"/>
      <c r="E36" s="809"/>
      <c r="F36" s="5">
        <f>1.44*($B$25*2.237/120)^2</f>
        <v>2.2202957903164906</v>
      </c>
      <c r="G36" s="5" t="s">
        <v>1814</v>
      </c>
      <c r="H36" s="460"/>
      <c r="I36" s="226"/>
      <c r="J36" s="1037" t="s">
        <v>1829</v>
      </c>
      <c r="K36" s="809"/>
      <c r="L36" s="809"/>
      <c r="M36" s="809"/>
      <c r="N36" s="332">
        <f>F36*20.885</f>
        <v>46.37087758075991</v>
      </c>
      <c r="O36" s="64" t="s">
        <v>1816</v>
      </c>
      <c r="P36" s="460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5" customHeight="1" x14ac:dyDescent="0.2">
      <c r="A37" s="226"/>
      <c r="B37" s="5"/>
      <c r="C37" s="5"/>
      <c r="D37" s="5"/>
      <c r="E37" s="5"/>
      <c r="F37" s="5"/>
      <c r="G37" s="5"/>
      <c r="H37" s="460"/>
      <c r="I37" s="226"/>
      <c r="J37" s="5"/>
      <c r="K37" s="5"/>
      <c r="L37" s="5"/>
      <c r="M37" s="5"/>
      <c r="N37" s="5"/>
      <c r="O37" s="5"/>
      <c r="P37" s="460"/>
      <c r="Q37" s="118" t="s">
        <v>1830</v>
      </c>
      <c r="R37" s="118"/>
      <c r="S37" s="118"/>
      <c r="T37" s="118"/>
      <c r="U37" s="118"/>
      <c r="V37" s="118"/>
      <c r="W37" s="5"/>
      <c r="X37" s="5"/>
      <c r="Y37" s="118"/>
      <c r="Z37" s="118"/>
      <c r="AA37" s="118"/>
      <c r="AB37" s="118"/>
      <c r="AC37" s="118"/>
      <c r="AD37" s="118"/>
      <c r="AE37" s="5"/>
      <c r="AF37" s="5"/>
    </row>
    <row r="38" spans="1:32" ht="12.75" customHeight="1" x14ac:dyDescent="0.2">
      <c r="A38" s="226"/>
      <c r="B38" s="5"/>
      <c r="C38" s="5"/>
      <c r="D38" s="5"/>
      <c r="E38" s="5"/>
      <c r="F38" s="5"/>
      <c r="G38" s="5"/>
      <c r="H38" s="460"/>
      <c r="I38" s="226"/>
      <c r="J38" s="5"/>
      <c r="K38" s="5"/>
      <c r="L38" s="5"/>
      <c r="M38" s="5"/>
      <c r="N38" s="5"/>
      <c r="O38" s="5"/>
      <c r="P38" s="460"/>
      <c r="Q38" s="103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ht="15.75" customHeight="1" x14ac:dyDescent="0.2">
      <c r="A39" s="226"/>
      <c r="B39" s="932" t="s">
        <v>1831</v>
      </c>
      <c r="C39" s="809"/>
      <c r="D39" s="809"/>
      <c r="E39" s="809"/>
      <c r="F39" s="263">
        <f>F35*B24*B17</f>
        <v>440.00887405621734</v>
      </c>
      <c r="G39" s="5" t="s">
        <v>1832</v>
      </c>
      <c r="H39" s="460"/>
      <c r="I39" s="226"/>
      <c r="J39" s="932" t="s">
        <v>1831</v>
      </c>
      <c r="K39" s="809"/>
      <c r="L39" s="809"/>
      <c r="M39" s="809"/>
      <c r="N39" s="263">
        <f>F39*1000*0.224</f>
        <v>98561.987788592684</v>
      </c>
      <c r="O39" s="5" t="s">
        <v>1833</v>
      </c>
      <c r="P39" s="460"/>
      <c r="Q39" s="1039" t="s">
        <v>1834</v>
      </c>
      <c r="R39" s="1040">
        <v>1</v>
      </c>
      <c r="S39" s="1041"/>
      <c r="T39" s="905" t="s">
        <v>1835</v>
      </c>
      <c r="U39" s="869" t="s">
        <v>1836</v>
      </c>
      <c r="V39" s="880"/>
      <c r="W39" s="880"/>
      <c r="X39" s="916"/>
      <c r="Y39" s="1047"/>
      <c r="Z39" s="1048"/>
      <c r="AA39" s="1049"/>
      <c r="AB39" s="1050"/>
      <c r="AC39" s="1051"/>
      <c r="AD39" s="809"/>
      <c r="AE39" s="809"/>
      <c r="AF39" s="809"/>
    </row>
    <row r="40" spans="1:32" ht="12.75" customHeight="1" x14ac:dyDescent="0.2">
      <c r="A40" s="226"/>
      <c r="B40" s="809"/>
      <c r="C40" s="809"/>
      <c r="D40" s="809"/>
      <c r="E40" s="809"/>
      <c r="F40" s="263"/>
      <c r="G40" s="5"/>
      <c r="H40" s="460"/>
      <c r="I40" s="226"/>
      <c r="J40" s="809"/>
      <c r="K40" s="809"/>
      <c r="L40" s="809"/>
      <c r="M40" s="809"/>
      <c r="N40" s="263"/>
      <c r="O40" s="5"/>
      <c r="P40" s="460"/>
      <c r="Q40" s="894"/>
      <c r="R40" s="917"/>
      <c r="S40" s="906"/>
      <c r="T40" s="906"/>
      <c r="U40" s="904"/>
      <c r="V40" s="883"/>
      <c r="W40" s="883"/>
      <c r="X40" s="917"/>
      <c r="Y40" s="809"/>
      <c r="Z40" s="809"/>
      <c r="AA40" s="809"/>
      <c r="AB40" s="809"/>
      <c r="AC40" s="809"/>
      <c r="AD40" s="809"/>
      <c r="AE40" s="809"/>
      <c r="AF40" s="809"/>
    </row>
    <row r="41" spans="1:32" ht="15" customHeight="1" x14ac:dyDescent="0.2">
      <c r="A41" s="226"/>
      <c r="B41" s="5"/>
      <c r="C41" s="5"/>
      <c r="D41" s="5"/>
      <c r="E41" s="5"/>
      <c r="F41" s="263"/>
      <c r="G41" s="5"/>
      <c r="H41" s="460"/>
      <c r="I41" s="226"/>
      <c r="J41" s="5"/>
      <c r="K41" s="5"/>
      <c r="L41" s="5"/>
      <c r="M41" s="5"/>
      <c r="N41" s="263"/>
      <c r="O41" s="5"/>
      <c r="P41" s="460"/>
      <c r="Q41" s="651" t="s">
        <v>1837</v>
      </c>
      <c r="R41" s="654">
        <f>V21*V20/V22</f>
        <v>103911600</v>
      </c>
      <c r="S41" s="542"/>
      <c r="T41" s="196" t="s">
        <v>1838</v>
      </c>
      <c r="U41" s="655" t="s">
        <v>1839</v>
      </c>
      <c r="V41" s="656"/>
      <c r="W41" s="655"/>
      <c r="X41" s="657"/>
      <c r="Y41" s="653"/>
      <c r="Z41" s="658"/>
      <c r="AA41" s="101"/>
      <c r="AB41" s="467"/>
      <c r="AC41" s="254"/>
      <c r="AD41" s="97"/>
      <c r="AE41" s="254"/>
      <c r="AF41" s="254"/>
    </row>
    <row r="42" spans="1:32" ht="15" customHeight="1" x14ac:dyDescent="0.2">
      <c r="A42" s="226"/>
      <c r="B42" s="932" t="s">
        <v>1840</v>
      </c>
      <c r="C42" s="809"/>
      <c r="D42" s="809"/>
      <c r="E42" s="809"/>
      <c r="F42" s="263">
        <f>F39*B24/2</f>
        <v>3484.4797832237773</v>
      </c>
      <c r="G42" s="5" t="s">
        <v>1841</v>
      </c>
      <c r="H42" s="460"/>
      <c r="I42" s="226"/>
      <c r="J42" s="932" t="s">
        <v>1840</v>
      </c>
      <c r="K42" s="809"/>
      <c r="L42" s="809"/>
      <c r="M42" s="809"/>
      <c r="N42" s="263">
        <f>F42*737.56</f>
        <v>2570012.9089145288</v>
      </c>
      <c r="O42" s="5" t="s">
        <v>1842</v>
      </c>
      <c r="P42" s="460"/>
      <c r="Q42" s="651" t="s">
        <v>1843</v>
      </c>
      <c r="R42" s="652">
        <v>0.9</v>
      </c>
      <c r="S42" s="542"/>
      <c r="T42" s="196" t="s">
        <v>1844</v>
      </c>
      <c r="U42" s="1044"/>
      <c r="V42" s="812"/>
      <c r="W42" s="812"/>
      <c r="X42" s="812"/>
      <c r="Y42" s="653"/>
      <c r="Z42" s="282"/>
      <c r="AA42" s="101"/>
      <c r="AB42" s="467"/>
      <c r="AC42" s="1043"/>
      <c r="AD42" s="809"/>
      <c r="AE42" s="809"/>
      <c r="AF42" s="809"/>
    </row>
    <row r="43" spans="1:32" ht="15" customHeight="1" x14ac:dyDescent="0.2">
      <c r="A43" s="226"/>
      <c r="B43" s="809"/>
      <c r="C43" s="809"/>
      <c r="D43" s="809"/>
      <c r="E43" s="809"/>
      <c r="F43" s="5"/>
      <c r="G43" s="5"/>
      <c r="H43" s="460"/>
      <c r="I43" s="226"/>
      <c r="J43" s="809"/>
      <c r="K43" s="809"/>
      <c r="L43" s="809"/>
      <c r="M43" s="809"/>
      <c r="N43" s="5"/>
      <c r="O43" s="5"/>
      <c r="P43" s="460"/>
      <c r="Q43" s="651" t="s">
        <v>1845</v>
      </c>
      <c r="R43" s="652">
        <f>V19/V21</f>
        <v>0</v>
      </c>
      <c r="S43" s="542"/>
      <c r="T43" s="196"/>
      <c r="U43" s="655" t="s">
        <v>1846</v>
      </c>
      <c r="V43" s="656"/>
      <c r="W43" s="655"/>
      <c r="X43" s="657"/>
      <c r="Y43" s="653"/>
      <c r="Z43" s="282"/>
      <c r="AA43" s="101"/>
      <c r="AB43" s="467"/>
      <c r="AC43" s="254"/>
      <c r="AD43" s="97"/>
      <c r="AE43" s="254"/>
      <c r="AF43" s="254"/>
    </row>
    <row r="44" spans="1:32" ht="15" customHeight="1" x14ac:dyDescent="0.2">
      <c r="A44" s="226"/>
      <c r="B44" s="265"/>
      <c r="C44" s="460"/>
      <c r="D44" s="460"/>
      <c r="E44" s="460"/>
      <c r="F44" s="460"/>
      <c r="G44" s="460"/>
      <c r="H44" s="460"/>
      <c r="I44" s="226"/>
      <c r="J44" s="265"/>
      <c r="K44" s="460"/>
      <c r="L44" s="460"/>
      <c r="M44" s="460"/>
      <c r="N44" s="460"/>
      <c r="O44" s="460"/>
      <c r="P44" s="460"/>
      <c r="Q44" s="651"/>
      <c r="R44" s="652">
        <v>0.92</v>
      </c>
      <c r="S44" s="542"/>
      <c r="T44" s="196" t="s">
        <v>1847</v>
      </c>
      <c r="U44" s="655" t="s">
        <v>1848</v>
      </c>
      <c r="V44" s="656"/>
      <c r="W44" s="655"/>
      <c r="X44" s="657"/>
      <c r="Y44" s="653"/>
      <c r="Z44" s="282"/>
      <c r="AA44" s="101"/>
      <c r="AB44" s="467"/>
      <c r="AC44" s="254"/>
      <c r="AD44" s="97"/>
      <c r="AE44" s="254"/>
      <c r="AF44" s="254"/>
    </row>
    <row r="45" spans="1:32" ht="15" customHeight="1" x14ac:dyDescent="0.2">
      <c r="A45" s="226"/>
      <c r="B45" s="265"/>
      <c r="C45" s="460"/>
      <c r="D45" s="460"/>
      <c r="E45" s="460"/>
      <c r="F45" s="460"/>
      <c r="G45" s="460"/>
      <c r="H45" s="460"/>
      <c r="I45" s="226"/>
      <c r="J45" s="265"/>
      <c r="K45" s="460"/>
      <c r="L45" s="460"/>
      <c r="M45" s="460"/>
      <c r="N45" s="460"/>
      <c r="O45" s="460"/>
      <c r="P45" s="460"/>
      <c r="Q45" s="651" t="s">
        <v>1849</v>
      </c>
      <c r="R45" s="652">
        <f>R42*R44</f>
        <v>0.82800000000000007</v>
      </c>
      <c r="S45" s="542"/>
      <c r="T45" s="196" t="s">
        <v>1850</v>
      </c>
      <c r="U45" s="1045" t="s">
        <v>1851</v>
      </c>
      <c r="V45" s="812"/>
      <c r="W45" s="812"/>
      <c r="X45" s="812"/>
      <c r="Y45" s="653"/>
      <c r="Z45" s="282"/>
      <c r="AA45" s="101"/>
      <c r="AB45" s="467"/>
      <c r="AC45" s="1042"/>
      <c r="AD45" s="809"/>
      <c r="AE45" s="809"/>
      <c r="AF45" s="809"/>
    </row>
    <row r="46" spans="1:32" ht="15" customHeight="1" x14ac:dyDescent="0.2">
      <c r="A46" s="226"/>
      <c r="B46" s="265"/>
      <c r="C46" s="460"/>
      <c r="D46" s="460"/>
      <c r="E46" s="460"/>
      <c r="F46" s="460"/>
      <c r="G46" s="460"/>
      <c r="H46" s="460"/>
      <c r="I46" s="226"/>
      <c r="J46" s="265"/>
      <c r="K46" s="460"/>
      <c r="L46" s="460"/>
      <c r="M46" s="460"/>
      <c r="N46" s="460"/>
      <c r="O46" s="460"/>
      <c r="P46" s="460"/>
      <c r="Q46" s="651" t="s">
        <v>1852</v>
      </c>
      <c r="R46" s="652">
        <f>V19*V21</f>
        <v>0</v>
      </c>
      <c r="S46" s="542" t="s">
        <v>688</v>
      </c>
      <c r="T46" s="196"/>
      <c r="U46" s="1044" t="s">
        <v>1853</v>
      </c>
      <c r="V46" s="812"/>
      <c r="W46" s="812"/>
      <c r="X46" s="812"/>
      <c r="Y46" s="653"/>
      <c r="Z46" s="282"/>
      <c r="AA46" s="101"/>
      <c r="AB46" s="467"/>
      <c r="AC46" s="1043"/>
      <c r="AD46" s="809"/>
      <c r="AE46" s="809"/>
      <c r="AF46" s="809"/>
    </row>
    <row r="47" spans="1:32" ht="12.75" customHeight="1" x14ac:dyDescent="0.2">
      <c r="A47" s="226"/>
      <c r="B47" s="265"/>
      <c r="C47" s="460"/>
      <c r="D47" s="460"/>
      <c r="E47" s="460"/>
      <c r="F47" s="460"/>
      <c r="G47" s="460"/>
      <c r="H47" s="460"/>
      <c r="I47" s="226"/>
      <c r="J47" s="265"/>
      <c r="K47" s="460"/>
      <c r="L47" s="460"/>
      <c r="M47" s="460"/>
      <c r="N47" s="460"/>
      <c r="O47" s="460"/>
      <c r="P47" s="460"/>
      <c r="Q47" s="659" t="s">
        <v>1694</v>
      </c>
      <c r="R47" s="652">
        <f>R39*R45*R46*S30</f>
        <v>0</v>
      </c>
      <c r="S47" s="542" t="s">
        <v>1440</v>
      </c>
      <c r="T47" s="196" t="s">
        <v>1854</v>
      </c>
      <c r="U47" s="1044" t="s">
        <v>1855</v>
      </c>
      <c r="V47" s="812"/>
      <c r="W47" s="812"/>
      <c r="X47" s="812"/>
      <c r="Y47" s="653"/>
      <c r="Z47" s="282"/>
      <c r="AA47" s="101"/>
      <c r="AB47" s="467"/>
      <c r="AC47" s="1043"/>
      <c r="AD47" s="809"/>
      <c r="AE47" s="809"/>
      <c r="AF47" s="809"/>
    </row>
    <row r="48" spans="1:32" ht="15" customHeight="1" x14ac:dyDescent="0.25">
      <c r="A48" s="226"/>
      <c r="B48" s="265"/>
      <c r="C48" s="460"/>
      <c r="D48" s="460"/>
      <c r="E48" s="460"/>
      <c r="F48" s="460"/>
      <c r="G48" s="460"/>
      <c r="H48" s="460"/>
      <c r="I48" s="226"/>
      <c r="J48" s="265"/>
      <c r="K48" s="460"/>
      <c r="L48" s="460"/>
      <c r="M48" s="460"/>
      <c r="N48" s="460"/>
      <c r="O48" s="460"/>
      <c r="P48" s="460"/>
      <c r="Q48" s="5"/>
      <c r="R48" s="5"/>
      <c r="S48" s="5"/>
      <c r="T48" s="5"/>
      <c r="U48" s="5"/>
      <c r="V48" s="5"/>
      <c r="W48" s="5"/>
      <c r="X48" s="650"/>
      <c r="Y48" s="5"/>
      <c r="Z48" s="5"/>
      <c r="AA48" s="5"/>
      <c r="AB48" s="5"/>
      <c r="AC48" s="5"/>
      <c r="AD48" s="5"/>
      <c r="AE48" s="5"/>
      <c r="AF48" s="650"/>
    </row>
    <row r="49" spans="1:32" ht="15" customHeight="1" x14ac:dyDescent="0.25">
      <c r="A49" s="226"/>
      <c r="B49" s="265"/>
      <c r="C49" s="5"/>
      <c r="D49" s="5"/>
      <c r="E49" s="5"/>
      <c r="F49" s="5"/>
      <c r="G49" s="5"/>
      <c r="H49" s="5"/>
      <c r="I49" s="226"/>
      <c r="J49" s="265"/>
      <c r="K49" s="5"/>
      <c r="L49" s="5"/>
      <c r="M49" s="5"/>
      <c r="N49" s="5"/>
      <c r="O49" s="5"/>
      <c r="P49" s="5"/>
      <c r="Q49" s="653" t="s">
        <v>265</v>
      </c>
      <c r="R49" s="5">
        <f>R47*V19/2/1000</f>
        <v>0</v>
      </c>
      <c r="S49" s="421" t="s">
        <v>1841</v>
      </c>
      <c r="T49" s="5"/>
      <c r="U49" s="64" t="s">
        <v>1856</v>
      </c>
      <c r="V49" s="650"/>
      <c r="W49" s="5"/>
      <c r="X49" s="650"/>
      <c r="Y49" s="653"/>
      <c r="Z49" s="5"/>
      <c r="AA49" s="421"/>
      <c r="AB49" s="5"/>
      <c r="AC49" s="64"/>
      <c r="AD49" s="650"/>
      <c r="AE49" s="5"/>
      <c r="AF49" s="650"/>
    </row>
    <row r="50" spans="1:32" ht="12.75" customHeight="1" x14ac:dyDescent="0.2">
      <c r="A50" s="226"/>
      <c r="B50" s="265"/>
      <c r="C50" s="5"/>
      <c r="D50" s="5"/>
      <c r="E50" s="5"/>
      <c r="F50" s="5"/>
      <c r="G50" s="5"/>
      <c r="H50" s="5"/>
      <c r="I50" s="226"/>
      <c r="J50" s="265"/>
      <c r="K50" s="5"/>
      <c r="L50" s="5"/>
      <c r="M50" s="5"/>
      <c r="N50" s="5"/>
      <c r="O50" s="5"/>
      <c r="P50" s="5"/>
      <c r="Q50" s="5"/>
      <c r="R50" s="5"/>
      <c r="S50" s="5"/>
      <c r="T50" s="5"/>
      <c r="U50" s="901" t="s">
        <v>1857</v>
      </c>
      <c r="V50" s="809"/>
      <c r="W50" s="809"/>
      <c r="X50" s="809"/>
      <c r="Y50" s="5"/>
      <c r="Z50" s="5"/>
      <c r="AA50" s="5"/>
      <c r="AB50" s="5"/>
      <c r="AC50" s="901"/>
      <c r="AD50" s="809"/>
      <c r="AE50" s="809"/>
      <c r="AF50" s="809"/>
    </row>
    <row r="51" spans="1:32" ht="13.5" customHeight="1" thickBot="1" x14ac:dyDescent="0.25">
      <c r="A51" s="226"/>
      <c r="B51" s="265"/>
      <c r="C51" s="5"/>
      <c r="D51" s="5"/>
      <c r="E51" s="5"/>
      <c r="F51" s="5"/>
      <c r="G51" s="5"/>
      <c r="H51" s="5"/>
      <c r="I51" s="226"/>
      <c r="J51" s="265"/>
      <c r="K51" s="5"/>
      <c r="L51" s="5"/>
      <c r="M51" s="5"/>
      <c r="N51" s="5"/>
      <c r="O51" s="5"/>
      <c r="P51" s="5"/>
      <c r="Q51" s="5"/>
      <c r="R51" s="5"/>
      <c r="S51" s="5"/>
      <c r="T51" s="5"/>
      <c r="U51" s="809"/>
      <c r="V51" s="809"/>
      <c r="W51" s="809"/>
      <c r="X51" s="809"/>
      <c r="Y51" s="5"/>
      <c r="Z51" s="5"/>
      <c r="AA51" s="5"/>
      <c r="AB51" s="5"/>
      <c r="AC51" s="809"/>
      <c r="AD51" s="809"/>
      <c r="AE51" s="809"/>
      <c r="AF51" s="809"/>
    </row>
    <row r="52" spans="1:32" ht="17.25" customHeight="1" thickTop="1" thickBot="1" x14ac:dyDescent="0.3">
      <c r="A52" s="1029"/>
      <c r="B52" s="823"/>
      <c r="C52" s="871"/>
      <c r="D52" s="1030" t="str">
        <f>'Front Page'!$A$13</f>
        <v>Mechanical  Calculations</v>
      </c>
      <c r="E52" s="842"/>
      <c r="F52" s="842"/>
      <c r="G52" s="842"/>
      <c r="H52" s="859"/>
      <c r="I52" s="1029"/>
      <c r="J52" s="823"/>
      <c r="K52" s="871"/>
      <c r="L52" s="1030" t="str">
        <f>'Front Page'!$A$13</f>
        <v>Mechanical  Calculations</v>
      </c>
      <c r="M52" s="842"/>
      <c r="N52" s="842"/>
      <c r="O52" s="842"/>
      <c r="P52" s="859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6.5" customHeight="1" thickBot="1" x14ac:dyDescent="0.3">
      <c r="A53" s="825"/>
      <c r="B53" s="809"/>
      <c r="C53" s="989"/>
      <c r="D53" s="1031"/>
      <c r="E53" s="831"/>
      <c r="F53" s="831"/>
      <c r="G53" s="831"/>
      <c r="H53" s="854"/>
      <c r="I53" s="825"/>
      <c r="J53" s="809"/>
      <c r="K53" s="989"/>
      <c r="L53" s="1031"/>
      <c r="M53" s="831"/>
      <c r="N53" s="831"/>
      <c r="O53" s="831"/>
      <c r="P53" s="854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ht="16.5" customHeight="1" thickBot="1" x14ac:dyDescent="0.3">
      <c r="A54" s="882"/>
      <c r="B54" s="883"/>
      <c r="C54" s="884"/>
      <c r="D54" s="1032" t="str">
        <f>D9</f>
        <v>Wind Forces</v>
      </c>
      <c r="E54" s="848"/>
      <c r="F54" s="848"/>
      <c r="G54" s="848"/>
      <c r="H54" s="849"/>
      <c r="I54" s="882"/>
      <c r="J54" s="883"/>
      <c r="K54" s="884"/>
      <c r="L54" s="1032" t="str">
        <f>L9</f>
        <v>Wind Forces</v>
      </c>
      <c r="M54" s="848"/>
      <c r="N54" s="848"/>
      <c r="O54" s="848"/>
      <c r="P54" s="849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ht="16.5" customHeight="1" thickTop="1" thickBot="1" x14ac:dyDescent="0.3">
      <c r="A55" s="1033"/>
      <c r="B55" s="812"/>
      <c r="C55" s="1034"/>
      <c r="D55" s="643" t="str">
        <f>'Front Page'!$D$4</f>
        <v>Doc Nº</v>
      </c>
      <c r="E55" s="980"/>
      <c r="F55" s="843"/>
      <c r="G55" s="846"/>
      <c r="H55" s="832"/>
      <c r="I55" s="1033"/>
      <c r="J55" s="812"/>
      <c r="K55" s="1034"/>
      <c r="L55" s="643" t="str">
        <f>'Front Page'!$D$4</f>
        <v>Doc Nº</v>
      </c>
      <c r="M55" s="980"/>
      <c r="N55" s="843"/>
      <c r="O55" s="846"/>
      <c r="P55" s="832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ht="15.75" customHeight="1" thickBot="1" x14ac:dyDescent="0.3">
      <c r="A56" s="1035"/>
      <c r="B56" s="952"/>
      <c r="C56" s="1036"/>
      <c r="D56" s="644" t="str">
        <f>'Front Page'!$D$5</f>
        <v>Project</v>
      </c>
      <c r="E56" s="899"/>
      <c r="F56" s="835"/>
      <c r="G56" s="131" t="s">
        <v>5</v>
      </c>
      <c r="H56" s="132"/>
      <c r="I56" s="1035"/>
      <c r="J56" s="952"/>
      <c r="K56" s="1036"/>
      <c r="L56" s="644" t="str">
        <f>'Front Page'!$D$5</f>
        <v>Project</v>
      </c>
      <c r="M56" s="899"/>
      <c r="N56" s="835"/>
      <c r="O56" s="131" t="s">
        <v>5</v>
      </c>
      <c r="P56" s="132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3.5" customHeight="1" thickTop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64" t="s">
        <v>1858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ht="1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 t="s">
        <v>1834</v>
      </c>
      <c r="S58" s="64" t="s">
        <v>1859</v>
      </c>
      <c r="T58" s="5"/>
      <c r="U58" s="5"/>
      <c r="V58" s="650" t="s">
        <v>1860</v>
      </c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ht="15" customHeight="1" x14ac:dyDescent="0.25">
      <c r="A59" s="925" t="s">
        <v>1861</v>
      </c>
      <c r="B59" s="809"/>
      <c r="C59" s="809"/>
      <c r="D59" s="809"/>
      <c r="E59" s="809"/>
      <c r="F59" s="809"/>
      <c r="G59" s="809"/>
      <c r="H59" s="5"/>
      <c r="I59" s="925" t="s">
        <v>1861</v>
      </c>
      <c r="J59" s="809"/>
      <c r="K59" s="809"/>
      <c r="L59" s="809"/>
      <c r="M59" s="809"/>
      <c r="N59" s="809"/>
      <c r="O59" s="809"/>
      <c r="P59" s="5"/>
      <c r="Q59" s="5"/>
      <c r="R59" s="5" t="s">
        <v>1862</v>
      </c>
      <c r="S59" s="64" t="s">
        <v>1863</v>
      </c>
      <c r="T59" s="5"/>
      <c r="U59" s="5"/>
      <c r="V59" s="650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ht="15" customHeight="1" x14ac:dyDescent="0.25">
      <c r="A60" s="809"/>
      <c r="B60" s="809"/>
      <c r="C60" s="809"/>
      <c r="D60" s="809"/>
      <c r="E60" s="809"/>
      <c r="F60" s="809"/>
      <c r="G60" s="809"/>
      <c r="H60" s="5"/>
      <c r="I60" s="809"/>
      <c r="J60" s="809"/>
      <c r="K60" s="809"/>
      <c r="L60" s="809"/>
      <c r="M60" s="809"/>
      <c r="N60" s="809"/>
      <c r="O60" s="809"/>
      <c r="P60" s="5"/>
      <c r="Q60" s="5"/>
      <c r="R60" s="5" t="s">
        <v>1864</v>
      </c>
      <c r="S60" s="64" t="s">
        <v>1865</v>
      </c>
      <c r="T60" s="5"/>
      <c r="U60" s="5"/>
      <c r="V60" s="650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x14ac:dyDescent="0.2">
      <c r="A62" s="5" t="s">
        <v>911</v>
      </c>
      <c r="B62" s="389">
        <f>'Main Dimensions Calcs'!D34/1000</f>
        <v>0</v>
      </c>
      <c r="C62" s="117" t="s">
        <v>1800</v>
      </c>
      <c r="D62" s="5"/>
      <c r="E62" s="5"/>
      <c r="F62" s="5"/>
      <c r="G62" s="5"/>
      <c r="H62" s="5"/>
      <c r="I62" s="5" t="s">
        <v>911</v>
      </c>
      <c r="J62" s="390">
        <f>B62*1000/25.4</f>
        <v>0</v>
      </c>
      <c r="K62" s="5" t="s">
        <v>1866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x14ac:dyDescent="0.2">
      <c r="A64" s="5" t="s">
        <v>1427</v>
      </c>
      <c r="B64" s="265">
        <f>B24*(B17+2*B18/1000)</f>
        <v>370.8045246124388</v>
      </c>
      <c r="C64" s="5" t="s">
        <v>1867</v>
      </c>
      <c r="D64" s="5"/>
      <c r="E64" s="5"/>
      <c r="F64" s="5"/>
      <c r="G64" s="5"/>
      <c r="H64" s="5"/>
      <c r="I64" s="5" t="s">
        <v>1427</v>
      </c>
      <c r="J64" s="265">
        <f>B64*1000000/(25.4*25.4)</f>
        <v>574748.16264560551</v>
      </c>
      <c r="K64" s="5" t="s">
        <v>1868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2.75" customHeight="1" x14ac:dyDescent="0.2">
      <c r="A66" s="226" t="s">
        <v>1811</v>
      </c>
      <c r="B66" s="265">
        <v>0.52</v>
      </c>
      <c r="C66" s="1003" t="s">
        <v>1869</v>
      </c>
      <c r="D66" s="809"/>
      <c r="E66" s="809"/>
      <c r="F66" s="809"/>
      <c r="G66" s="809"/>
      <c r="H66" s="809"/>
      <c r="I66" s="226" t="s">
        <v>1811</v>
      </c>
      <c r="J66" s="265">
        <v>0.52</v>
      </c>
      <c r="K66" s="1003" t="s">
        <v>1869</v>
      </c>
      <c r="L66" s="809"/>
      <c r="M66" s="809"/>
      <c r="N66" s="809"/>
      <c r="O66" s="809"/>
      <c r="P66" s="809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x14ac:dyDescent="0.2">
      <c r="A67" s="226"/>
      <c r="B67" s="265"/>
      <c r="C67" s="809"/>
      <c r="D67" s="809"/>
      <c r="E67" s="809"/>
      <c r="F67" s="809"/>
      <c r="G67" s="809"/>
      <c r="H67" s="809"/>
      <c r="I67" s="226"/>
      <c r="J67" s="265"/>
      <c r="K67" s="809"/>
      <c r="L67" s="809"/>
      <c r="M67" s="809"/>
      <c r="N67" s="809"/>
      <c r="O67" s="809"/>
      <c r="P67" s="809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ht="12.75" customHeight="1" x14ac:dyDescent="0.2">
      <c r="A68" s="226" t="s">
        <v>1870</v>
      </c>
      <c r="B68" s="265">
        <v>1.9</v>
      </c>
      <c r="C68" s="1003" t="s">
        <v>1871</v>
      </c>
      <c r="D68" s="809"/>
      <c r="E68" s="809"/>
      <c r="F68" s="809"/>
      <c r="G68" s="809"/>
      <c r="H68" s="809"/>
      <c r="I68" s="226" t="s">
        <v>1870</v>
      </c>
      <c r="J68" s="265">
        <v>1.9</v>
      </c>
      <c r="K68" s="1003" t="s">
        <v>1871</v>
      </c>
      <c r="L68" s="809"/>
      <c r="M68" s="809"/>
      <c r="N68" s="809"/>
      <c r="O68" s="809"/>
      <c r="P68" s="809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x14ac:dyDescent="0.2">
      <c r="A69" s="226"/>
      <c r="B69" s="265"/>
      <c r="C69" s="809"/>
      <c r="D69" s="809"/>
      <c r="E69" s="809"/>
      <c r="F69" s="809"/>
      <c r="G69" s="809"/>
      <c r="H69" s="809"/>
      <c r="I69" s="226"/>
      <c r="J69" s="265"/>
      <c r="K69" s="809"/>
      <c r="L69" s="809"/>
      <c r="M69" s="809"/>
      <c r="N69" s="809"/>
      <c r="O69" s="809"/>
      <c r="P69" s="809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ht="12.75" customHeight="1" x14ac:dyDescent="0.2">
      <c r="A70" s="226" t="s">
        <v>1872</v>
      </c>
      <c r="B70" s="265">
        <v>-1.6</v>
      </c>
      <c r="C70" s="1003" t="s">
        <v>1873</v>
      </c>
      <c r="D70" s="809"/>
      <c r="E70" s="809"/>
      <c r="F70" s="809"/>
      <c r="G70" s="809"/>
      <c r="H70" s="809"/>
      <c r="I70" s="226" t="s">
        <v>1872</v>
      </c>
      <c r="J70" s="265">
        <v>-1.6</v>
      </c>
      <c r="K70" s="1003" t="s">
        <v>1873</v>
      </c>
      <c r="L70" s="809"/>
      <c r="M70" s="809"/>
      <c r="N70" s="809"/>
      <c r="O70" s="809"/>
      <c r="P70" s="809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x14ac:dyDescent="0.2">
      <c r="A71" s="226"/>
      <c r="B71" s="265"/>
      <c r="C71" s="809"/>
      <c r="D71" s="809"/>
      <c r="E71" s="809"/>
      <c r="F71" s="809"/>
      <c r="G71" s="809"/>
      <c r="H71" s="809"/>
      <c r="I71" s="226"/>
      <c r="J71" s="265"/>
      <c r="K71" s="809"/>
      <c r="L71" s="809"/>
      <c r="M71" s="809"/>
      <c r="N71" s="809"/>
      <c r="O71" s="809"/>
      <c r="P71" s="809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ht="12.75" customHeight="1" x14ac:dyDescent="0.2">
      <c r="A72" s="226" t="s">
        <v>1874</v>
      </c>
      <c r="B72" s="265">
        <v>0.8</v>
      </c>
      <c r="C72" s="1003" t="s">
        <v>1875</v>
      </c>
      <c r="D72" s="809"/>
      <c r="E72" s="809"/>
      <c r="F72" s="809"/>
      <c r="G72" s="809"/>
      <c r="H72" s="809"/>
      <c r="I72" s="226" t="s">
        <v>1874</v>
      </c>
      <c r="J72" s="265">
        <v>0.8</v>
      </c>
      <c r="K72" s="1003" t="s">
        <v>1875</v>
      </c>
      <c r="L72" s="809"/>
      <c r="M72" s="809"/>
      <c r="N72" s="809"/>
      <c r="O72" s="809"/>
      <c r="P72" s="809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x14ac:dyDescent="0.2">
      <c r="A73" s="226"/>
      <c r="B73" s="265"/>
      <c r="C73" s="809"/>
      <c r="D73" s="809"/>
      <c r="E73" s="809"/>
      <c r="F73" s="809"/>
      <c r="G73" s="809"/>
      <c r="H73" s="809"/>
      <c r="I73" s="226"/>
      <c r="J73" s="265"/>
      <c r="K73" s="809"/>
      <c r="L73" s="809"/>
      <c r="M73" s="809"/>
      <c r="N73" s="809"/>
      <c r="O73" s="809"/>
      <c r="P73" s="809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ht="12.75" customHeight="1" x14ac:dyDescent="0.2">
      <c r="A74" s="226" t="s">
        <v>1876</v>
      </c>
      <c r="B74" s="265">
        <v>-0.7</v>
      </c>
      <c r="C74" s="1003" t="s">
        <v>1877</v>
      </c>
      <c r="D74" s="809"/>
      <c r="E74" s="809"/>
      <c r="F74" s="809"/>
      <c r="G74" s="809"/>
      <c r="H74" s="809"/>
      <c r="I74" s="226" t="s">
        <v>1876</v>
      </c>
      <c r="J74" s="265">
        <v>-0.7</v>
      </c>
      <c r="K74" s="1003" t="s">
        <v>1877</v>
      </c>
      <c r="L74" s="809"/>
      <c r="M74" s="809"/>
      <c r="N74" s="809"/>
      <c r="O74" s="809"/>
      <c r="P74" s="809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x14ac:dyDescent="0.2">
      <c r="A75" s="226"/>
      <c r="B75" s="265"/>
      <c r="C75" s="809"/>
      <c r="D75" s="809"/>
      <c r="E75" s="809"/>
      <c r="F75" s="809"/>
      <c r="G75" s="809"/>
      <c r="H75" s="809"/>
      <c r="I75" s="226"/>
      <c r="J75" s="265"/>
      <c r="K75" s="809"/>
      <c r="L75" s="809"/>
      <c r="M75" s="809"/>
      <c r="N75" s="809"/>
      <c r="O75" s="809"/>
      <c r="P75" s="809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ht="12.75" customHeight="1" x14ac:dyDescent="0.2">
      <c r="A76" s="226" t="s">
        <v>1878</v>
      </c>
      <c r="B76" s="265">
        <f>B66*B68*B70</f>
        <v>-1.5808</v>
      </c>
      <c r="C76" s="1003" t="s">
        <v>1879</v>
      </c>
      <c r="D76" s="809"/>
      <c r="E76" s="809"/>
      <c r="F76" s="809"/>
      <c r="G76" s="809"/>
      <c r="H76" s="809"/>
      <c r="I76" s="226" t="s">
        <v>1878</v>
      </c>
      <c r="J76" s="265">
        <f>J66*J68*J70</f>
        <v>-1.5808</v>
      </c>
      <c r="K76" s="1003" t="s">
        <v>1879</v>
      </c>
      <c r="L76" s="809"/>
      <c r="M76" s="809"/>
      <c r="N76" s="809"/>
      <c r="O76" s="809"/>
      <c r="P76" s="809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x14ac:dyDescent="0.2">
      <c r="A77" s="226"/>
      <c r="B77" s="265"/>
      <c r="C77" s="809"/>
      <c r="D77" s="809"/>
      <c r="E77" s="809"/>
      <c r="F77" s="809"/>
      <c r="G77" s="809"/>
      <c r="H77" s="809"/>
      <c r="I77" s="226"/>
      <c r="J77" s="265"/>
      <c r="K77" s="809"/>
      <c r="L77" s="809"/>
      <c r="M77" s="809"/>
      <c r="N77" s="809"/>
      <c r="O77" s="809"/>
      <c r="P77" s="809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ht="12.75" customHeight="1" x14ac:dyDescent="0.2">
      <c r="A78" s="226" t="s">
        <v>1880</v>
      </c>
      <c r="B78" s="265">
        <f>B66*B68*B72</f>
        <v>0.79039999999999999</v>
      </c>
      <c r="C78" s="1003" t="s">
        <v>1881</v>
      </c>
      <c r="D78" s="809"/>
      <c r="E78" s="809"/>
      <c r="F78" s="809"/>
      <c r="G78" s="809"/>
      <c r="H78" s="809"/>
      <c r="I78" s="226" t="s">
        <v>1880</v>
      </c>
      <c r="J78" s="265">
        <f>J66*J68*J72</f>
        <v>0.79039999999999999</v>
      </c>
      <c r="K78" s="1003" t="s">
        <v>1881</v>
      </c>
      <c r="L78" s="809"/>
      <c r="M78" s="809"/>
      <c r="N78" s="809"/>
      <c r="O78" s="809"/>
      <c r="P78" s="809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x14ac:dyDescent="0.2">
      <c r="A79" s="226"/>
      <c r="B79" s="265"/>
      <c r="C79" s="809"/>
      <c r="D79" s="809"/>
      <c r="E79" s="809"/>
      <c r="F79" s="809"/>
      <c r="G79" s="809"/>
      <c r="H79" s="809"/>
      <c r="I79" s="226"/>
      <c r="J79" s="265"/>
      <c r="K79" s="809"/>
      <c r="L79" s="809"/>
      <c r="M79" s="809"/>
      <c r="N79" s="809"/>
      <c r="O79" s="809"/>
      <c r="P79" s="809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ht="12.75" customHeight="1" x14ac:dyDescent="0.2">
      <c r="A80" s="226" t="s">
        <v>1878</v>
      </c>
      <c r="B80" s="265">
        <f>B74*B68*B66</f>
        <v>-0.69159999999999999</v>
      </c>
      <c r="C80" s="1003" t="s">
        <v>1882</v>
      </c>
      <c r="D80" s="809"/>
      <c r="E80" s="809"/>
      <c r="F80" s="809"/>
      <c r="G80" s="809"/>
      <c r="H80" s="809"/>
      <c r="I80" s="226" t="s">
        <v>1878</v>
      </c>
      <c r="J80" s="265">
        <f>J74*J68*J66</f>
        <v>-0.69159999999999999</v>
      </c>
      <c r="K80" s="1003" t="s">
        <v>1882</v>
      </c>
      <c r="L80" s="809"/>
      <c r="M80" s="809"/>
      <c r="N80" s="809"/>
      <c r="O80" s="809"/>
      <c r="P80" s="809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x14ac:dyDescent="0.2">
      <c r="A81" s="226"/>
      <c r="B81" s="265"/>
      <c r="C81" s="809"/>
      <c r="D81" s="809"/>
      <c r="E81" s="809"/>
      <c r="F81" s="809"/>
      <c r="G81" s="809"/>
      <c r="H81" s="809"/>
      <c r="I81" s="226"/>
      <c r="J81" s="265"/>
      <c r="K81" s="809"/>
      <c r="L81" s="809"/>
      <c r="M81" s="809"/>
      <c r="N81" s="809"/>
      <c r="O81" s="809"/>
      <c r="P81" s="809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ht="12.75" customHeight="1" x14ac:dyDescent="0.2">
      <c r="A82" s="226" t="s">
        <v>1883</v>
      </c>
      <c r="B82" s="265">
        <f>B78*B64</f>
        <v>293.08389625367164</v>
      </c>
      <c r="C82" s="1003" t="s">
        <v>1884</v>
      </c>
      <c r="D82" s="809"/>
      <c r="E82" s="809"/>
      <c r="F82" s="809"/>
      <c r="G82" s="809"/>
      <c r="H82" s="809"/>
      <c r="I82" s="226" t="s">
        <v>1883</v>
      </c>
      <c r="J82" s="265">
        <f>B82</f>
        <v>293.08389625367164</v>
      </c>
      <c r="K82" s="1003" t="s">
        <v>1884</v>
      </c>
      <c r="L82" s="809"/>
      <c r="M82" s="809"/>
      <c r="N82" s="809"/>
      <c r="O82" s="809"/>
      <c r="P82" s="809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x14ac:dyDescent="0.2">
      <c r="A83" s="226"/>
      <c r="B83" s="265"/>
      <c r="C83" s="809"/>
      <c r="D83" s="809"/>
      <c r="E83" s="809"/>
      <c r="F83" s="809"/>
      <c r="G83" s="809"/>
      <c r="H83" s="809"/>
      <c r="I83" s="226"/>
      <c r="J83" s="265"/>
      <c r="K83" s="809"/>
      <c r="L83" s="809"/>
      <c r="M83" s="809"/>
      <c r="N83" s="809"/>
      <c r="O83" s="809"/>
      <c r="P83" s="809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ht="12.75" customHeight="1" x14ac:dyDescent="0.2">
      <c r="A84" s="226" t="s">
        <v>1885</v>
      </c>
      <c r="B84" s="265">
        <f>B80*B26</f>
        <v>-207.87319162196269</v>
      </c>
      <c r="C84" s="1003" t="s">
        <v>1886</v>
      </c>
      <c r="D84" s="809"/>
      <c r="E84" s="809"/>
      <c r="F84" s="809"/>
      <c r="G84" s="809"/>
      <c r="H84" s="809"/>
      <c r="I84" s="226" t="s">
        <v>1885</v>
      </c>
      <c r="J84" s="265">
        <f>B84</f>
        <v>-207.87319162196269</v>
      </c>
      <c r="K84" s="1003" t="s">
        <v>1886</v>
      </c>
      <c r="L84" s="809"/>
      <c r="M84" s="809"/>
      <c r="N84" s="809"/>
      <c r="O84" s="809"/>
      <c r="P84" s="809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x14ac:dyDescent="0.2">
      <c r="A85" s="226"/>
      <c r="B85" s="265"/>
      <c r="C85" s="809"/>
      <c r="D85" s="809"/>
      <c r="E85" s="809"/>
      <c r="F85" s="809"/>
      <c r="G85" s="809"/>
      <c r="H85" s="809"/>
      <c r="I85" s="226"/>
      <c r="J85" s="265"/>
      <c r="K85" s="809"/>
      <c r="L85" s="809"/>
      <c r="M85" s="809"/>
      <c r="N85" s="809"/>
      <c r="O85" s="809"/>
      <c r="P85" s="809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x14ac:dyDescent="0.2">
      <c r="A86" s="226" t="s">
        <v>1887</v>
      </c>
      <c r="B86" s="265">
        <f>B24/2*B82</f>
        <v>2320.964352082352</v>
      </c>
      <c r="C86" s="5" t="s">
        <v>1888</v>
      </c>
      <c r="D86" s="5"/>
      <c r="E86" s="5"/>
      <c r="F86" s="5"/>
      <c r="G86" s="5"/>
      <c r="H86" s="5"/>
      <c r="I86" s="226" t="s">
        <v>1887</v>
      </c>
      <c r="J86" s="265">
        <f>B86</f>
        <v>2320.964352082352</v>
      </c>
      <c r="K86" s="5" t="s">
        <v>1888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x14ac:dyDescent="0.2">
      <c r="A87" s="226"/>
      <c r="B87" s="265"/>
      <c r="C87" s="5"/>
      <c r="D87" s="5"/>
      <c r="E87" s="5"/>
      <c r="F87" s="5"/>
      <c r="G87" s="5"/>
      <c r="H87" s="5"/>
      <c r="I87" s="226"/>
      <c r="J87" s="26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x14ac:dyDescent="0.2">
      <c r="A88" s="226" t="s">
        <v>1889</v>
      </c>
      <c r="B88" s="265">
        <f>B24/2*B84</f>
        <v>-1646.1711942391141</v>
      </c>
      <c r="C88" s="5" t="s">
        <v>1890</v>
      </c>
      <c r="D88" s="5"/>
      <c r="E88" s="5"/>
      <c r="F88" s="5"/>
      <c r="G88" s="5"/>
      <c r="H88" s="5"/>
      <c r="I88" s="226" t="s">
        <v>1889</v>
      </c>
      <c r="J88" s="265">
        <f>B88</f>
        <v>-1646.1711942391141</v>
      </c>
      <c r="K88" s="5" t="s">
        <v>1890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 x14ac:dyDescent="0.2">
      <c r="A89" s="226"/>
      <c r="B89" s="265"/>
      <c r="C89" s="5"/>
      <c r="D89" s="5"/>
      <c r="E89" s="5"/>
      <c r="F89" s="5"/>
      <c r="G89" s="5"/>
      <c r="H89" s="5"/>
      <c r="I89" s="226"/>
      <c r="J89" s="26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x14ac:dyDescent="0.2">
      <c r="A90" s="226" t="s">
        <v>1889</v>
      </c>
      <c r="B90" s="265">
        <f>B86-B88</f>
        <v>3967.1355463214659</v>
      </c>
      <c r="C90" s="5" t="s">
        <v>1891</v>
      </c>
      <c r="D90" s="5"/>
      <c r="E90" s="5"/>
      <c r="F90" s="5"/>
      <c r="G90" s="5"/>
      <c r="H90" s="5"/>
      <c r="I90" s="226" t="s">
        <v>1889</v>
      </c>
      <c r="J90" s="265">
        <f>J86-J88</f>
        <v>3967.1355463214659</v>
      </c>
      <c r="K90" s="5" t="s">
        <v>1891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 ht="13.5" customHeight="1" thickBo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 ht="17.25" customHeight="1" thickTop="1" thickBot="1" x14ac:dyDescent="0.3">
      <c r="A95" s="1029"/>
      <c r="B95" s="823"/>
      <c r="C95" s="871"/>
      <c r="D95" s="1030" t="str">
        <f>'Front Page'!$A$13</f>
        <v>Mechanical  Calculations</v>
      </c>
      <c r="E95" s="842"/>
      <c r="F95" s="842"/>
      <c r="G95" s="842"/>
      <c r="H95" s="859"/>
      <c r="I95" s="1029"/>
      <c r="J95" s="823"/>
      <c r="K95" s="871"/>
      <c r="L95" s="1030" t="str">
        <f>'Front Page'!$A$13</f>
        <v>Mechanical  Calculations</v>
      </c>
      <c r="M95" s="842"/>
      <c r="N95" s="842"/>
      <c r="O95" s="842"/>
      <c r="P95" s="859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 ht="16.5" customHeight="1" thickBot="1" x14ac:dyDescent="0.3">
      <c r="A96" s="825"/>
      <c r="B96" s="809"/>
      <c r="C96" s="989"/>
      <c r="D96" s="1031"/>
      <c r="E96" s="831"/>
      <c r="F96" s="831"/>
      <c r="G96" s="831"/>
      <c r="H96" s="854"/>
      <c r="I96" s="825"/>
      <c r="J96" s="809"/>
      <c r="K96" s="989"/>
      <c r="L96" s="1031"/>
      <c r="M96" s="831"/>
      <c r="N96" s="831"/>
      <c r="O96" s="831"/>
      <c r="P96" s="854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 ht="16.5" customHeight="1" thickBot="1" x14ac:dyDescent="0.3">
      <c r="A97" s="882"/>
      <c r="B97" s="883"/>
      <c r="C97" s="884"/>
      <c r="D97" s="1032" t="s">
        <v>1759</v>
      </c>
      <c r="E97" s="848"/>
      <c r="F97" s="848"/>
      <c r="G97" s="848"/>
      <c r="H97" s="849"/>
      <c r="I97" s="882"/>
      <c r="J97" s="883"/>
      <c r="K97" s="884"/>
      <c r="L97" s="1032" t="s">
        <v>1759</v>
      </c>
      <c r="M97" s="848"/>
      <c r="N97" s="848"/>
      <c r="O97" s="848"/>
      <c r="P97" s="849"/>
      <c r="Q97" s="5"/>
      <c r="R97" s="266" t="s">
        <v>1892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 ht="16.5" customHeight="1" thickTop="1" thickBot="1" x14ac:dyDescent="0.3">
      <c r="A98" s="1033"/>
      <c r="B98" s="812"/>
      <c r="C98" s="1034"/>
      <c r="D98" s="643" t="str">
        <f>'Front Page'!$D$4</f>
        <v>Doc Nº</v>
      </c>
      <c r="E98" s="980"/>
      <c r="F98" s="843"/>
      <c r="G98" s="846"/>
      <c r="H98" s="832"/>
      <c r="I98" s="1033"/>
      <c r="J98" s="812"/>
      <c r="K98" s="1034"/>
      <c r="L98" s="643" t="str">
        <f>'Front Page'!$D$4</f>
        <v>Doc Nº</v>
      </c>
      <c r="M98" s="980"/>
      <c r="N98" s="843"/>
      <c r="O98" s="846"/>
      <c r="P98" s="832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ht="15.75" customHeight="1" thickBot="1" x14ac:dyDescent="0.3">
      <c r="A99" s="1035"/>
      <c r="B99" s="952"/>
      <c r="C99" s="1036"/>
      <c r="D99" s="644" t="str">
        <f>'Front Page'!$D$5</f>
        <v>Project</v>
      </c>
      <c r="E99" s="899"/>
      <c r="F99" s="835"/>
      <c r="G99" s="131" t="s">
        <v>5</v>
      </c>
      <c r="H99" s="132"/>
      <c r="I99" s="1035"/>
      <c r="J99" s="952"/>
      <c r="K99" s="1036"/>
      <c r="L99" s="644" t="str">
        <f>'Front Page'!$D$5</f>
        <v>Project</v>
      </c>
      <c r="M99" s="899"/>
      <c r="N99" s="835"/>
      <c r="O99" s="131" t="s">
        <v>5</v>
      </c>
      <c r="P99" s="427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 ht="13.5" customHeight="1" thickTop="1" x14ac:dyDescent="0.2">
      <c r="A100" s="4"/>
      <c r="B100" s="4"/>
      <c r="C100" s="4"/>
      <c r="D100" s="4"/>
      <c r="E100" s="4"/>
      <c r="F100" s="4"/>
      <c r="G100" s="4"/>
      <c r="H100" s="5"/>
      <c r="I100" s="4"/>
      <c r="J100" s="4"/>
      <c r="K100" s="4"/>
      <c r="L100" s="4"/>
      <c r="M100" s="4"/>
      <c r="N100" s="4"/>
      <c r="O100" s="4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1:32" ht="18" customHeight="1" x14ac:dyDescent="0.25">
      <c r="A101" s="134" t="s">
        <v>1893</v>
      </c>
      <c r="B101" s="5"/>
      <c r="C101" s="5"/>
      <c r="D101" s="5"/>
      <c r="E101" s="5"/>
      <c r="F101" s="5"/>
      <c r="G101" s="5"/>
      <c r="H101" s="5"/>
      <c r="I101" s="134" t="s">
        <v>1893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spans="1:32" ht="18" customHeight="1" x14ac:dyDescent="0.25">
      <c r="A102" s="134"/>
      <c r="B102" s="5"/>
      <c r="C102" s="5"/>
      <c r="D102" s="5"/>
      <c r="E102" s="5"/>
      <c r="F102" s="5"/>
      <c r="G102" s="5"/>
      <c r="H102" s="5"/>
      <c r="I102" s="13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32" x14ac:dyDescent="0.2">
      <c r="A103" s="118" t="s">
        <v>1764</v>
      </c>
      <c r="B103" s="5"/>
      <c r="C103" s="5"/>
      <c r="D103" s="5"/>
      <c r="E103" s="5"/>
      <c r="F103" s="5"/>
      <c r="G103" s="5"/>
      <c r="H103" s="5"/>
      <c r="I103" s="118" t="s">
        <v>1764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32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1:32" x14ac:dyDescent="0.2">
      <c r="A105" s="64" t="s">
        <v>196</v>
      </c>
      <c r="B105" s="389">
        <f>B17</f>
        <v>23.4</v>
      </c>
      <c r="C105" s="117" t="s">
        <v>1768</v>
      </c>
      <c r="D105" s="5"/>
      <c r="E105" s="5"/>
      <c r="F105" s="5"/>
      <c r="G105" s="5"/>
      <c r="H105" s="5"/>
      <c r="I105" s="64" t="s">
        <v>196</v>
      </c>
      <c r="J105" s="635">
        <f>B105*1000/25.4</f>
        <v>921.25984251968509</v>
      </c>
      <c r="K105" s="5" t="s">
        <v>1769</v>
      </c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1:32" x14ac:dyDescent="0.2">
      <c r="A106" s="5" t="s">
        <v>1772</v>
      </c>
      <c r="B106" s="389">
        <f>B18</f>
        <v>6</v>
      </c>
      <c r="C106" s="117" t="s">
        <v>1773</v>
      </c>
      <c r="D106" s="5"/>
      <c r="E106" s="5"/>
      <c r="F106" s="5"/>
      <c r="G106" s="5"/>
      <c r="H106" s="5"/>
      <c r="I106" s="5" t="s">
        <v>1772</v>
      </c>
      <c r="J106" s="635">
        <f>B106/25.4</f>
        <v>0.23622047244094491</v>
      </c>
      <c r="K106" s="5" t="s">
        <v>1774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spans="1:32" x14ac:dyDescent="0.2">
      <c r="A107" s="5" t="s">
        <v>1728</v>
      </c>
      <c r="B107" s="389">
        <f>B19</f>
        <v>19.399999999999999</v>
      </c>
      <c r="C107" s="117" t="s">
        <v>1778</v>
      </c>
      <c r="D107" s="5"/>
      <c r="E107" s="5"/>
      <c r="F107" s="5"/>
      <c r="G107" s="5"/>
      <c r="H107" s="5"/>
      <c r="I107" s="5" t="s">
        <v>1728</v>
      </c>
      <c r="J107" s="635">
        <f>B107*1000/25.4</f>
        <v>763.77952755905517</v>
      </c>
      <c r="K107" s="5" t="s">
        <v>1779</v>
      </c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 x14ac:dyDescent="0.2">
      <c r="A108" s="5" t="s">
        <v>1783</v>
      </c>
      <c r="B108" s="660">
        <v>3</v>
      </c>
      <c r="C108" s="64" t="s">
        <v>1894</v>
      </c>
      <c r="D108" s="5"/>
      <c r="E108" s="5"/>
      <c r="F108" s="5"/>
      <c r="G108" s="5"/>
      <c r="H108" s="5"/>
      <c r="I108" s="5" t="s">
        <v>1783</v>
      </c>
      <c r="J108" s="661">
        <f>+B108*3.2808</f>
        <v>9.8424000000000014</v>
      </c>
      <c r="K108" s="64" t="s">
        <v>1895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spans="1:32" x14ac:dyDescent="0.2">
      <c r="A109" s="64" t="s">
        <v>1617</v>
      </c>
      <c r="B109" s="332">
        <f>+'Main Dimensions Calcs'!D30/1000</f>
        <v>8.9130432931562744</v>
      </c>
      <c r="C109" s="64" t="s">
        <v>1896</v>
      </c>
      <c r="D109" s="5"/>
      <c r="E109" s="5"/>
      <c r="F109" s="5"/>
      <c r="G109" s="5"/>
      <c r="H109" s="5"/>
      <c r="I109" s="5" t="s">
        <v>1797</v>
      </c>
      <c r="J109" s="346">
        <f>+B109*3.2808</f>
        <v>29.241912436187107</v>
      </c>
      <c r="K109" s="64" t="s">
        <v>1897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 x14ac:dyDescent="0.2">
      <c r="A110" s="5" t="s">
        <v>1475</v>
      </c>
      <c r="B110" s="332">
        <f>+'Main Dimensions Calcs'!D31/1000</f>
        <v>3.9251817458168516</v>
      </c>
      <c r="C110" s="64" t="s">
        <v>1898</v>
      </c>
      <c r="D110" s="5"/>
      <c r="E110" s="5"/>
      <c r="F110" s="5"/>
      <c r="G110" s="5"/>
      <c r="H110" s="5"/>
      <c r="I110" s="5" t="s">
        <v>1475</v>
      </c>
      <c r="J110" s="346">
        <f>+B110*3.2808</f>
        <v>12.877736271675927</v>
      </c>
      <c r="K110" s="64" t="s">
        <v>1899</v>
      </c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spans="1:32" x14ac:dyDescent="0.2">
      <c r="A111" s="5" t="s">
        <v>911</v>
      </c>
      <c r="B111" s="391">
        <f>+B108+B109+B110</f>
        <v>15.838225038973127</v>
      </c>
      <c r="C111" s="64" t="s">
        <v>1900</v>
      </c>
      <c r="D111" s="5"/>
      <c r="E111" s="5"/>
      <c r="F111" s="5"/>
      <c r="G111" s="5"/>
      <c r="H111" s="5"/>
      <c r="I111" s="5" t="s">
        <v>911</v>
      </c>
      <c r="J111" s="634">
        <f>B111*3.2808</f>
        <v>51.962048707863033</v>
      </c>
      <c r="K111" s="64" t="s">
        <v>1901</v>
      </c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spans="1:32" x14ac:dyDescent="0.2">
      <c r="A112" s="5" t="s">
        <v>1803</v>
      </c>
      <c r="B112" s="389">
        <f>B25</f>
        <v>66.61</v>
      </c>
      <c r="C112" s="5" t="s">
        <v>1804</v>
      </c>
      <c r="D112" s="5"/>
      <c r="E112" s="5"/>
      <c r="F112" s="5"/>
      <c r="G112" s="5"/>
      <c r="H112" s="5"/>
      <c r="I112" s="5" t="s">
        <v>1803</v>
      </c>
      <c r="J112" s="662">
        <f>J25</f>
        <v>149</v>
      </c>
      <c r="K112" s="5" t="s">
        <v>1805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1:32" x14ac:dyDescent="0.2">
      <c r="A113" s="64" t="s">
        <v>1407</v>
      </c>
      <c r="B113" s="390">
        <f>B26</f>
        <v>300.56852461243881</v>
      </c>
      <c r="C113" s="64" t="s">
        <v>1902</v>
      </c>
      <c r="D113" s="5"/>
      <c r="E113" s="5"/>
      <c r="F113" s="5"/>
      <c r="G113" s="5"/>
      <c r="H113" s="5"/>
      <c r="I113" s="64" t="s">
        <v>1407</v>
      </c>
      <c r="J113" s="346">
        <f>+B113*1550</f>
        <v>465881.21314928017</v>
      </c>
      <c r="K113" s="64" t="s">
        <v>1903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x14ac:dyDescent="0.2">
      <c r="A114" s="64" t="s">
        <v>1904</v>
      </c>
      <c r="B114" s="390">
        <f>+B110*B105</f>
        <v>91.849252852114319</v>
      </c>
      <c r="C114" s="64" t="s">
        <v>1905</v>
      </c>
      <c r="D114" s="5"/>
      <c r="E114" s="5"/>
      <c r="F114" s="5"/>
      <c r="G114" s="5"/>
      <c r="H114" s="5"/>
      <c r="I114" s="64" t="s">
        <v>1904</v>
      </c>
      <c r="J114" s="346">
        <f>+B114*1550</f>
        <v>142366.34192077719</v>
      </c>
      <c r="K114" s="64" t="s">
        <v>1906</v>
      </c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x14ac:dyDescent="0.2">
      <c r="A115" s="266" t="s">
        <v>1907</v>
      </c>
      <c r="B115" s="5"/>
      <c r="C115" s="5"/>
      <c r="D115" s="5"/>
      <c r="E115" s="5"/>
      <c r="F115" s="5"/>
      <c r="G115" s="5"/>
      <c r="H115" s="5"/>
      <c r="I115" s="64" t="s">
        <v>1907</v>
      </c>
      <c r="J115" s="346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32" x14ac:dyDescent="0.2">
      <c r="A116" s="998" t="s">
        <v>1808</v>
      </c>
      <c r="B116" s="809"/>
      <c r="C116" s="809"/>
      <c r="D116" s="809"/>
      <c r="E116" s="809"/>
      <c r="F116" s="809"/>
      <c r="G116" s="809"/>
      <c r="H116" s="248"/>
      <c r="I116" s="998" t="s">
        <v>1808</v>
      </c>
      <c r="J116" s="809"/>
      <c r="K116" s="809"/>
      <c r="L116" s="809"/>
      <c r="M116" s="809"/>
      <c r="N116" s="809"/>
      <c r="O116" s="809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spans="1:32" x14ac:dyDescent="0.2">
      <c r="A117" s="809"/>
      <c r="B117" s="809"/>
      <c r="C117" s="809"/>
      <c r="D117" s="809"/>
      <c r="E117" s="809"/>
      <c r="F117" s="809"/>
      <c r="G117" s="809"/>
      <c r="H117" s="5"/>
      <c r="I117" s="809"/>
      <c r="J117" s="809"/>
      <c r="K117" s="809"/>
      <c r="L117" s="809"/>
      <c r="M117" s="809"/>
      <c r="N117" s="809"/>
      <c r="O117" s="809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1:32" x14ac:dyDescent="0.2">
      <c r="A118" s="226"/>
      <c r="B118" s="265"/>
      <c r="C118" s="460"/>
      <c r="D118" s="460"/>
      <c r="E118" s="460"/>
      <c r="F118" s="460"/>
      <c r="G118" s="460"/>
      <c r="H118" s="460"/>
      <c r="I118" s="226"/>
      <c r="J118" s="265"/>
      <c r="K118" s="460"/>
      <c r="L118" s="460"/>
      <c r="M118" s="460"/>
      <c r="N118" s="460"/>
      <c r="O118" s="460"/>
      <c r="P118" s="460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1:32" x14ac:dyDescent="0.2">
      <c r="A119" s="341" t="s">
        <v>1908</v>
      </c>
      <c r="B119" s="660">
        <v>1.18</v>
      </c>
      <c r="C119" s="81" t="s">
        <v>1909</v>
      </c>
      <c r="D119" s="460"/>
      <c r="E119" s="460"/>
      <c r="F119" s="460"/>
      <c r="G119" s="460"/>
      <c r="H119" s="460"/>
      <c r="I119" s="341" t="s">
        <v>1908</v>
      </c>
      <c r="J119" s="265">
        <f>B119</f>
        <v>1.18</v>
      </c>
      <c r="K119" s="81" t="s">
        <v>1909</v>
      </c>
      <c r="L119" s="460"/>
      <c r="M119" s="460"/>
      <c r="N119" s="460"/>
      <c r="O119" s="460"/>
      <c r="P119" s="460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spans="1:32" x14ac:dyDescent="0.2">
      <c r="A120" s="341" t="s">
        <v>1910</v>
      </c>
      <c r="B120" s="660">
        <v>1</v>
      </c>
      <c r="C120" s="81" t="s">
        <v>1911</v>
      </c>
      <c r="D120" s="460"/>
      <c r="E120" s="460"/>
      <c r="F120" s="460"/>
      <c r="G120" s="460"/>
      <c r="H120" s="460"/>
      <c r="I120" s="341" t="s">
        <v>1910</v>
      </c>
      <c r="J120" s="265">
        <f>B120</f>
        <v>1</v>
      </c>
      <c r="K120" s="81" t="s">
        <v>1911</v>
      </c>
      <c r="L120" s="460"/>
      <c r="M120" s="460"/>
      <c r="N120" s="460"/>
      <c r="O120" s="460"/>
      <c r="P120" s="460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spans="1:32" x14ac:dyDescent="0.2">
      <c r="A121" s="341" t="s">
        <v>1912</v>
      </c>
      <c r="B121" s="663">
        <v>0.95</v>
      </c>
      <c r="C121" s="64" t="s">
        <v>1913</v>
      </c>
      <c r="D121" s="212"/>
      <c r="E121" s="212"/>
      <c r="F121" s="64"/>
      <c r="G121" s="5"/>
      <c r="H121" s="460"/>
      <c r="I121" s="341" t="s">
        <v>1912</v>
      </c>
      <c r="J121" s="265">
        <f>B121</f>
        <v>0.95</v>
      </c>
      <c r="K121" s="64" t="s">
        <v>1913</v>
      </c>
      <c r="L121" s="212"/>
      <c r="M121" s="212"/>
      <c r="N121" s="64"/>
      <c r="O121" s="5"/>
      <c r="P121" s="460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spans="1:32" x14ac:dyDescent="0.2">
      <c r="A122" s="226"/>
      <c r="B122" s="212"/>
      <c r="C122" s="212"/>
      <c r="D122" s="212"/>
      <c r="E122" s="212"/>
      <c r="F122" s="64"/>
      <c r="G122" s="5"/>
      <c r="H122" s="460"/>
      <c r="I122" s="226"/>
      <c r="J122" s="212"/>
      <c r="K122" s="212"/>
      <c r="L122" s="212"/>
      <c r="M122" s="212"/>
      <c r="N122" s="64"/>
      <c r="O122" s="5"/>
      <c r="P122" s="460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spans="1:32" x14ac:dyDescent="0.2">
      <c r="A123" s="341" t="s">
        <v>1914</v>
      </c>
      <c r="B123" s="388">
        <f>0.613*B121*B120*B119*B112^2</f>
        <v>3048.9124550332995</v>
      </c>
      <c r="C123" s="69" t="s">
        <v>1915</v>
      </c>
      <c r="D123" s="248"/>
      <c r="E123" s="5"/>
      <c r="F123" s="5"/>
      <c r="G123" s="5"/>
      <c r="H123" s="460"/>
      <c r="I123" s="341" t="s">
        <v>1914</v>
      </c>
      <c r="J123" s="265">
        <f>B123*0.020885</f>
        <v>63.67653662337046</v>
      </c>
      <c r="K123" s="69" t="s">
        <v>1916</v>
      </c>
      <c r="L123" s="248"/>
      <c r="M123" s="5"/>
      <c r="N123" s="5"/>
      <c r="O123" s="5"/>
      <c r="P123" s="460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x14ac:dyDescent="0.2">
      <c r="A124" s="341" t="s">
        <v>1917</v>
      </c>
      <c r="B124" s="433">
        <v>0.85</v>
      </c>
      <c r="C124" s="64" t="s">
        <v>1918</v>
      </c>
      <c r="D124" s="5"/>
      <c r="E124" s="5"/>
      <c r="F124" s="5"/>
      <c r="G124" s="5"/>
      <c r="H124" s="460"/>
      <c r="I124" s="341" t="s">
        <v>1917</v>
      </c>
      <c r="J124" s="265">
        <f>B124</f>
        <v>0.85</v>
      </c>
      <c r="K124" s="64" t="s">
        <v>1918</v>
      </c>
      <c r="L124" s="5"/>
      <c r="M124" s="5"/>
      <c r="N124" s="5"/>
      <c r="O124" s="5"/>
      <c r="P124" s="460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 x14ac:dyDescent="0.2">
      <c r="A125" s="341" t="s">
        <v>1919</v>
      </c>
      <c r="B125" s="5">
        <f>B107*2*SQRT(B123)/1000</f>
        <v>2.1424179718965508</v>
      </c>
      <c r="C125" s="64"/>
      <c r="D125" s="5"/>
      <c r="E125" s="5"/>
      <c r="F125" s="5"/>
      <c r="G125" s="5"/>
      <c r="H125" s="460"/>
      <c r="I125" s="341" t="s">
        <v>1919</v>
      </c>
      <c r="J125" s="265">
        <f>B125</f>
        <v>2.1424179718965508</v>
      </c>
      <c r="K125" s="64"/>
      <c r="L125" s="5"/>
      <c r="M125" s="5"/>
      <c r="N125" s="5"/>
      <c r="O125" s="5"/>
      <c r="P125" s="460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1:32" x14ac:dyDescent="0.2">
      <c r="A126" s="341" t="s">
        <v>1862</v>
      </c>
      <c r="B126" s="366">
        <v>0.7</v>
      </c>
      <c r="C126" s="64" t="s">
        <v>1920</v>
      </c>
      <c r="D126" s="5"/>
      <c r="E126" s="5"/>
      <c r="F126" s="5"/>
      <c r="G126" s="5"/>
      <c r="H126" s="460"/>
      <c r="I126" s="341" t="s">
        <v>1862</v>
      </c>
      <c r="J126" s="265">
        <f>B126</f>
        <v>0.7</v>
      </c>
      <c r="K126" s="64" t="s">
        <v>1920</v>
      </c>
      <c r="L126" s="5"/>
      <c r="M126" s="5"/>
      <c r="N126" s="5"/>
      <c r="O126" s="5"/>
      <c r="P126" s="460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spans="1:32" x14ac:dyDescent="0.2">
      <c r="A127" s="341" t="s">
        <v>1921</v>
      </c>
      <c r="B127" s="212">
        <f>B123*B124*B126</f>
        <v>1814.102910744813</v>
      </c>
      <c r="C127" s="64" t="s">
        <v>1922</v>
      </c>
      <c r="D127" s="212"/>
      <c r="E127" s="212"/>
      <c r="F127" s="5"/>
      <c r="G127" s="5"/>
      <c r="H127" s="664"/>
      <c r="I127" s="341" t="s">
        <v>1921</v>
      </c>
      <c r="J127" s="265">
        <f>B127*0.020885</f>
        <v>37.887539290905423</v>
      </c>
      <c r="K127" s="64" t="s">
        <v>1923</v>
      </c>
      <c r="L127" s="212"/>
      <c r="M127" s="212"/>
      <c r="N127" s="5"/>
      <c r="O127" s="5"/>
      <c r="P127" s="460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spans="1:32" x14ac:dyDescent="0.2">
      <c r="A128" s="341" t="s">
        <v>1924</v>
      </c>
      <c r="B128" s="212">
        <f>B127</f>
        <v>1814.102910744813</v>
      </c>
      <c r="C128" s="81" t="s">
        <v>1925</v>
      </c>
      <c r="D128" s="460"/>
      <c r="E128" s="460"/>
      <c r="F128" s="460"/>
      <c r="G128" s="460"/>
      <c r="H128" s="664"/>
      <c r="I128" s="341" t="s">
        <v>1924</v>
      </c>
      <c r="J128" s="265">
        <f>B128*0.020885</f>
        <v>37.887539290905423</v>
      </c>
      <c r="K128" s="81" t="s">
        <v>1926</v>
      </c>
      <c r="L128" s="460"/>
      <c r="M128" s="460"/>
      <c r="N128" s="460"/>
      <c r="O128" s="460"/>
      <c r="P128" s="460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32" x14ac:dyDescent="0.2">
      <c r="A129" s="226"/>
      <c r="B129" s="265"/>
      <c r="C129" s="460"/>
      <c r="D129" s="460"/>
      <c r="E129" s="460"/>
      <c r="F129" s="460"/>
      <c r="G129" s="460"/>
      <c r="H129" s="664"/>
      <c r="I129" s="226"/>
      <c r="J129" s="265"/>
      <c r="K129" s="460"/>
      <c r="L129" s="460"/>
      <c r="M129" s="460"/>
      <c r="N129" s="460"/>
      <c r="O129" s="460"/>
      <c r="P129" s="460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 ht="13.35" customHeight="1" x14ac:dyDescent="0.2">
      <c r="A130" s="226"/>
      <c r="B130" s="901" t="s">
        <v>1927</v>
      </c>
      <c r="C130" s="809"/>
      <c r="D130" s="809"/>
      <c r="E130" s="809"/>
      <c r="F130" s="265">
        <f>B127*B113/1000</f>
        <v>545.2622353776992</v>
      </c>
      <c r="G130" s="64" t="s">
        <v>1928</v>
      </c>
      <c r="H130" s="664"/>
      <c r="I130" s="226"/>
      <c r="J130" s="901" t="s">
        <v>1927</v>
      </c>
      <c r="K130" s="809"/>
      <c r="L130" s="809"/>
      <c r="M130" s="809"/>
      <c r="N130" s="665">
        <f>F130*1000*0.224</f>
        <v>122138.74072460464</v>
      </c>
      <c r="O130" s="5" t="s">
        <v>1833</v>
      </c>
      <c r="P130" s="460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spans="1:32" x14ac:dyDescent="0.2">
      <c r="A131" s="226"/>
      <c r="B131" s="809"/>
      <c r="C131" s="809"/>
      <c r="D131" s="809"/>
      <c r="E131" s="809"/>
      <c r="F131" s="265"/>
      <c r="G131" s="5"/>
      <c r="H131" s="460"/>
      <c r="I131" s="226"/>
      <c r="J131" s="809"/>
      <c r="K131" s="809"/>
      <c r="L131" s="809"/>
      <c r="M131" s="809"/>
      <c r="N131" s="665"/>
      <c r="O131" s="5"/>
      <c r="P131" s="460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32" x14ac:dyDescent="0.2">
      <c r="A132" s="226"/>
      <c r="B132" s="388"/>
      <c r="C132" s="388"/>
      <c r="D132" s="388"/>
      <c r="E132" s="388"/>
      <c r="F132" s="265"/>
      <c r="G132" s="5"/>
      <c r="H132" s="460"/>
      <c r="I132" s="226"/>
      <c r="J132" s="218"/>
      <c r="K132" s="218"/>
      <c r="L132" s="218"/>
      <c r="M132" s="218"/>
      <c r="N132" s="665"/>
      <c r="O132" s="5"/>
      <c r="P132" s="460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spans="1:32" x14ac:dyDescent="0.2">
      <c r="A133" s="226"/>
      <c r="B133" s="901" t="s">
        <v>1929</v>
      </c>
      <c r="C133" s="809"/>
      <c r="D133" s="809"/>
      <c r="E133" s="809"/>
      <c r="F133" s="265">
        <f>+B128*B114/1000</f>
        <v>166.62399694875691</v>
      </c>
      <c r="G133" s="64" t="s">
        <v>1928</v>
      </c>
      <c r="H133" s="460"/>
      <c r="I133" s="226"/>
      <c r="J133" s="901" t="s">
        <v>1929</v>
      </c>
      <c r="K133" s="809"/>
      <c r="L133" s="809"/>
      <c r="M133" s="809"/>
      <c r="N133" s="665">
        <f>F133*1000*0.224</f>
        <v>37323.775316521547</v>
      </c>
      <c r="O133" s="64" t="s">
        <v>1833</v>
      </c>
      <c r="P133" s="460"/>
      <c r="Q133" s="263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spans="1:32" x14ac:dyDescent="0.2">
      <c r="A134" s="226"/>
      <c r="B134" s="809"/>
      <c r="C134" s="809"/>
      <c r="D134" s="809"/>
      <c r="E134" s="809"/>
      <c r="F134" s="265"/>
      <c r="G134" s="5"/>
      <c r="H134" s="460"/>
      <c r="I134" s="226"/>
      <c r="J134" s="809"/>
      <c r="K134" s="809"/>
      <c r="L134" s="809"/>
      <c r="M134" s="809"/>
      <c r="N134" s="665"/>
      <c r="O134" s="5"/>
      <c r="P134" s="460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 x14ac:dyDescent="0.2">
      <c r="A135" s="226"/>
      <c r="B135" s="388"/>
      <c r="C135" s="388"/>
      <c r="D135" s="388"/>
      <c r="E135" s="388"/>
      <c r="F135" s="265"/>
      <c r="G135" s="5"/>
      <c r="H135" s="460"/>
      <c r="I135" s="226"/>
      <c r="J135" s="218"/>
      <c r="K135" s="218"/>
      <c r="L135" s="218"/>
      <c r="M135" s="218"/>
      <c r="N135" s="665"/>
      <c r="O135" s="5"/>
      <c r="P135" s="460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 x14ac:dyDescent="0.2">
      <c r="A136" s="226"/>
      <c r="B136" s="69" t="s">
        <v>1930</v>
      </c>
      <c r="C136" s="248"/>
      <c r="D136" s="248"/>
      <c r="E136" s="248"/>
      <c r="F136" s="265">
        <f>+F130+F133</f>
        <v>711.88623232645614</v>
      </c>
      <c r="G136" s="64" t="s">
        <v>1928</v>
      </c>
      <c r="H136" s="460"/>
      <c r="I136" s="226"/>
      <c r="J136" s="69" t="s">
        <v>1930</v>
      </c>
      <c r="K136" s="218"/>
      <c r="L136" s="218"/>
      <c r="M136" s="218"/>
      <c r="N136" s="665">
        <f>F136*1000*0.224</f>
        <v>159462.51604112616</v>
      </c>
      <c r="O136" s="64" t="s">
        <v>1833</v>
      </c>
      <c r="P136" s="460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 x14ac:dyDescent="0.2">
      <c r="A137" s="226"/>
      <c r="B137" s="218"/>
      <c r="C137" s="218"/>
      <c r="D137" s="218"/>
      <c r="E137" s="218"/>
      <c r="F137" s="265"/>
      <c r="G137" s="5"/>
      <c r="H137" s="460"/>
      <c r="I137" s="226"/>
      <c r="J137" s="218"/>
      <c r="K137" s="218"/>
      <c r="L137" s="218"/>
      <c r="M137" s="218"/>
      <c r="N137" s="665"/>
      <c r="O137" s="5"/>
      <c r="P137" s="460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 x14ac:dyDescent="0.2">
      <c r="A138" s="226"/>
      <c r="B138" s="901" t="s">
        <v>1931</v>
      </c>
      <c r="C138" s="809"/>
      <c r="D138" s="809"/>
      <c r="E138" s="809"/>
      <c r="F138" s="265">
        <f>F130*(B109+B110)/2</f>
        <v>3500.0996415162181</v>
      </c>
      <c r="G138" s="64" t="s">
        <v>1932</v>
      </c>
      <c r="H138" s="5"/>
      <c r="I138" s="226"/>
      <c r="J138" s="982" t="s">
        <v>1840</v>
      </c>
      <c r="K138" s="809"/>
      <c r="L138" s="809"/>
      <c r="M138" s="809"/>
      <c r="N138" s="665">
        <f>F138*737.56</f>
        <v>2581533.4915967016</v>
      </c>
      <c r="O138" s="5" t="s">
        <v>1842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1:32" x14ac:dyDescent="0.2">
      <c r="A139" s="226"/>
      <c r="B139" s="809"/>
      <c r="C139" s="809"/>
      <c r="D139" s="809"/>
      <c r="E139" s="809"/>
      <c r="F139" s="265"/>
      <c r="G139" s="5"/>
      <c r="H139" s="5"/>
      <c r="I139" s="226"/>
      <c r="J139" s="809"/>
      <c r="K139" s="809"/>
      <c r="L139" s="809"/>
      <c r="M139" s="809"/>
      <c r="N139" s="64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32" x14ac:dyDescent="0.2">
      <c r="A140" s="226"/>
      <c r="B140" s="265"/>
      <c r="C140" s="5"/>
      <c r="D140" s="5"/>
      <c r="E140" s="5"/>
      <c r="F140" s="265"/>
      <c r="G140" s="5"/>
      <c r="H140" s="5"/>
      <c r="I140" s="226"/>
      <c r="J140" s="265"/>
      <c r="K140" s="5"/>
      <c r="L140" s="5"/>
      <c r="M140" s="5"/>
      <c r="N140" s="64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32" x14ac:dyDescent="0.2">
      <c r="A141" s="5"/>
      <c r="B141" s="901" t="s">
        <v>1933</v>
      </c>
      <c r="C141" s="809"/>
      <c r="D141" s="809"/>
      <c r="E141" s="809"/>
      <c r="F141" s="265">
        <f>+F133*(B109+(B110/2))</f>
        <v>1812.1416341021609</v>
      </c>
      <c r="G141" s="64" t="s">
        <v>1932</v>
      </c>
      <c r="H141" s="5"/>
      <c r="I141" s="5"/>
      <c r="J141" s="901" t="s">
        <v>1933</v>
      </c>
      <c r="K141" s="809"/>
      <c r="L141" s="809"/>
      <c r="M141" s="809"/>
      <c r="N141" s="665">
        <f>F141*737.56</f>
        <v>1336563.1836483898</v>
      </c>
      <c r="O141" s="5" t="s">
        <v>1842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32" x14ac:dyDescent="0.2">
      <c r="A142" s="5"/>
      <c r="B142" s="809"/>
      <c r="C142" s="809"/>
      <c r="D142" s="809"/>
      <c r="E142" s="809"/>
      <c r="F142" s="5"/>
      <c r="G142" s="5"/>
      <c r="H142" s="5"/>
      <c r="I142" s="5"/>
      <c r="J142" s="809"/>
      <c r="K142" s="809"/>
      <c r="L142" s="809"/>
      <c r="M142" s="809"/>
      <c r="N142" s="64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64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32" x14ac:dyDescent="0.2">
      <c r="A144" s="5"/>
      <c r="B144" s="64" t="s">
        <v>1934</v>
      </c>
      <c r="C144" s="5"/>
      <c r="D144" s="5"/>
      <c r="E144" s="5"/>
      <c r="F144" s="5">
        <f>+F136*(B109+B110)/2</f>
        <v>4569.6778263768747</v>
      </c>
      <c r="G144" s="64" t="s">
        <v>1932</v>
      </c>
      <c r="H144" s="5"/>
      <c r="I144" s="5"/>
      <c r="J144" s="64" t="s">
        <v>1934</v>
      </c>
      <c r="K144" s="5"/>
      <c r="L144" s="5"/>
      <c r="M144" s="5"/>
      <c r="N144" s="665">
        <f>F144*737.56</f>
        <v>3370411.5776225273</v>
      </c>
      <c r="O144" s="5" t="s">
        <v>1842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32" ht="13.5" customHeight="1" thickBot="1" x14ac:dyDescent="0.25">
      <c r="A145" s="5"/>
      <c r="B145" s="64"/>
      <c r="C145" s="5"/>
      <c r="D145" s="5"/>
      <c r="E145" s="5"/>
      <c r="F145" s="5"/>
      <c r="G145" s="64"/>
      <c r="H145" s="5"/>
      <c r="I145" s="5"/>
      <c r="J145" s="64"/>
      <c r="K145" s="5"/>
      <c r="L145" s="5"/>
      <c r="M145" s="5"/>
      <c r="N145" s="666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1:32" ht="17.25" customHeight="1" thickTop="1" thickBot="1" x14ac:dyDescent="0.3">
      <c r="A146" s="5"/>
      <c r="B146" s="64"/>
      <c r="C146" s="5"/>
      <c r="D146" s="5"/>
      <c r="E146" s="5"/>
      <c r="F146" s="5"/>
      <c r="G146" s="64"/>
      <c r="H146" s="5"/>
      <c r="I146" s="1029"/>
      <c r="J146" s="823"/>
      <c r="K146" s="871"/>
      <c r="L146" s="1030" t="str">
        <f>'Front Page'!$A$13</f>
        <v>Mechanical  Calculations</v>
      </c>
      <c r="M146" s="842"/>
      <c r="N146" s="842"/>
      <c r="O146" s="842"/>
      <c r="P146" s="859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 ht="16.5" customHeight="1" thickBot="1" x14ac:dyDescent="0.3">
      <c r="A147" s="5"/>
      <c r="B147" s="64"/>
      <c r="C147" s="5"/>
      <c r="D147" s="5"/>
      <c r="E147" s="5"/>
      <c r="F147" s="5"/>
      <c r="G147" s="64"/>
      <c r="H147" s="5"/>
      <c r="I147" s="825"/>
      <c r="J147" s="809"/>
      <c r="K147" s="989"/>
      <c r="L147" s="1031"/>
      <c r="M147" s="831"/>
      <c r="N147" s="831"/>
      <c r="O147" s="831"/>
      <c r="P147" s="854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 ht="16.5" customHeight="1" thickBot="1" x14ac:dyDescent="0.3">
      <c r="A148" s="5"/>
      <c r="B148" s="5"/>
      <c r="C148" s="5"/>
      <c r="D148" s="5"/>
      <c r="E148" s="5"/>
      <c r="F148" s="5"/>
      <c r="G148" s="5"/>
      <c r="H148" s="5"/>
      <c r="I148" s="882"/>
      <c r="J148" s="883"/>
      <c r="K148" s="884"/>
      <c r="L148" s="1032" t="s">
        <v>1759</v>
      </c>
      <c r="M148" s="848"/>
      <c r="N148" s="848"/>
      <c r="O148" s="848"/>
      <c r="P148" s="849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 ht="16.5" customHeight="1" thickTop="1" thickBot="1" x14ac:dyDescent="0.3">
      <c r="A149" s="5"/>
      <c r="B149" s="5"/>
      <c r="C149" s="5"/>
      <c r="D149" s="5"/>
      <c r="E149" s="5"/>
      <c r="F149" s="5"/>
      <c r="G149" s="5"/>
      <c r="H149" s="5"/>
      <c r="I149" s="1033"/>
      <c r="J149" s="812"/>
      <c r="K149" s="1034"/>
      <c r="L149" s="643" t="str">
        <f>'Front Page'!$D$4</f>
        <v>Doc Nº</v>
      </c>
      <c r="M149" s="980"/>
      <c r="N149" s="843"/>
      <c r="O149" s="846"/>
      <c r="P149" s="832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 ht="15.75" customHeight="1" thickBot="1" x14ac:dyDescent="0.3">
      <c r="A150" s="5"/>
      <c r="B150" s="5"/>
      <c r="C150" s="5"/>
      <c r="D150" s="5"/>
      <c r="E150" s="5"/>
      <c r="F150" s="5"/>
      <c r="G150" s="5"/>
      <c r="H150" s="5"/>
      <c r="I150" s="1035"/>
      <c r="J150" s="952"/>
      <c r="K150" s="1036"/>
      <c r="L150" s="644" t="str">
        <f>'Front Page'!$D$5</f>
        <v>Project</v>
      </c>
      <c r="M150" s="899"/>
      <c r="N150" s="835"/>
      <c r="O150" s="131" t="s">
        <v>5</v>
      </c>
      <c r="P150" s="427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 ht="15.75" customHeight="1" thickTop="1" x14ac:dyDescent="0.25">
      <c r="A151" s="5"/>
      <c r="B151" s="5"/>
      <c r="C151" s="5"/>
      <c r="D151" s="5"/>
      <c r="E151" s="5"/>
      <c r="F151" s="5"/>
      <c r="G151" s="5"/>
      <c r="H151" s="5"/>
      <c r="I151" s="623"/>
      <c r="J151" s="623"/>
      <c r="K151" s="623"/>
      <c r="L151" s="628"/>
      <c r="M151" s="14"/>
      <c r="N151" s="14"/>
      <c r="O151" s="118"/>
      <c r="P151" s="170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 x14ac:dyDescent="0.2">
      <c r="A152" s="5"/>
      <c r="B152" s="5"/>
      <c r="C152" s="5"/>
      <c r="D152" s="5"/>
      <c r="E152" s="5"/>
      <c r="F152" s="5"/>
      <c r="G152" s="5"/>
      <c r="H152" s="5"/>
      <c r="I152" s="143" t="s">
        <v>1935</v>
      </c>
      <c r="J152" s="144"/>
      <c r="K152" s="144"/>
      <c r="L152" s="144"/>
      <c r="M152" s="144"/>
      <c r="N152" s="144"/>
      <c r="O152" s="169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 x14ac:dyDescent="0.2">
      <c r="A153" s="5"/>
      <c r="B153" s="5"/>
      <c r="C153" s="5"/>
      <c r="D153" s="5"/>
      <c r="E153" s="5"/>
      <c r="F153" s="5"/>
      <c r="G153" s="5"/>
      <c r="H153" s="5"/>
      <c r="I153" s="64"/>
      <c r="J153" s="64"/>
      <c r="K153" s="64"/>
      <c r="L153" s="64"/>
      <c r="M153" s="64"/>
      <c r="N153" s="64"/>
      <c r="O153" s="64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 x14ac:dyDescent="0.2">
      <c r="A154" s="5"/>
      <c r="B154" s="5"/>
      <c r="C154" s="5"/>
      <c r="D154" s="5"/>
      <c r="E154" s="5"/>
      <c r="F154" s="5"/>
      <c r="G154" s="5"/>
      <c r="H154" s="5"/>
      <c r="I154" s="293" t="s">
        <v>1936</v>
      </c>
      <c r="J154" s="293" t="s">
        <v>1937</v>
      </c>
      <c r="K154" s="293"/>
      <c r="L154" s="293"/>
      <c r="M154" s="64"/>
      <c r="N154" s="64"/>
      <c r="O154" s="64"/>
      <c r="P154" s="5"/>
      <c r="Q154" s="5"/>
      <c r="R154" s="5"/>
      <c r="S154" s="5"/>
      <c r="T154" s="64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 x14ac:dyDescent="0.2">
      <c r="A155" s="5"/>
      <c r="B155" s="5"/>
      <c r="C155" s="5"/>
      <c r="D155" s="5"/>
      <c r="E155" s="5"/>
      <c r="F155" s="5"/>
      <c r="G155" s="5"/>
      <c r="H155" s="5"/>
      <c r="I155" s="293" t="s">
        <v>1938</v>
      </c>
      <c r="J155" s="293" t="s">
        <v>1939</v>
      </c>
      <c r="K155" s="293"/>
      <c r="L155" s="293"/>
      <c r="M155" s="64"/>
      <c r="N155" s="64"/>
      <c r="O155" s="64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1:32" x14ac:dyDescent="0.2">
      <c r="A156" s="5"/>
      <c r="B156" s="5"/>
      <c r="C156" s="5"/>
      <c r="D156" s="5"/>
      <c r="E156" s="5"/>
      <c r="F156" s="5"/>
      <c r="G156" s="5"/>
      <c r="H156" s="5"/>
      <c r="I156" s="293" t="s">
        <v>1940</v>
      </c>
      <c r="J156" s="293" t="s">
        <v>1941</v>
      </c>
      <c r="K156" s="293"/>
      <c r="L156" s="293"/>
      <c r="M156" s="64"/>
      <c r="N156" s="64"/>
      <c r="O156" s="64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 x14ac:dyDescent="0.2">
      <c r="A157" s="5"/>
      <c r="B157" s="5"/>
      <c r="C157" s="5"/>
      <c r="D157" s="5"/>
      <c r="E157" s="5"/>
      <c r="F157" s="5"/>
      <c r="G157" s="5"/>
      <c r="H157" s="5"/>
      <c r="I157" s="64"/>
      <c r="J157" s="64"/>
      <c r="K157" s="64"/>
      <c r="L157" s="64"/>
      <c r="M157" s="64"/>
      <c r="N157" s="64"/>
      <c r="O157" s="64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 x14ac:dyDescent="0.2">
      <c r="A158" s="5"/>
      <c r="B158" s="5"/>
      <c r="C158" s="5"/>
      <c r="D158" s="5"/>
      <c r="E158" s="5"/>
      <c r="F158" s="5"/>
      <c r="G158" s="5"/>
      <c r="H158" s="5"/>
      <c r="I158" s="64" t="s">
        <v>1942</v>
      </c>
      <c r="J158" s="64"/>
      <c r="K158" s="64"/>
      <c r="L158" s="64"/>
      <c r="M158" s="64"/>
      <c r="N158" s="64"/>
      <c r="O158" s="64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 spans="1:32" x14ac:dyDescent="0.2">
      <c r="A159" s="5"/>
      <c r="B159" s="5"/>
      <c r="C159" s="5"/>
      <c r="D159" s="5"/>
      <c r="E159" s="5"/>
      <c r="F159" s="5"/>
      <c r="G159" s="5"/>
      <c r="H159" s="5"/>
      <c r="I159" s="64"/>
      <c r="J159" s="64"/>
      <c r="K159" s="64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spans="1:32" x14ac:dyDescent="0.2">
      <c r="A160" s="5"/>
      <c r="B160" s="5"/>
      <c r="C160" s="5"/>
      <c r="D160" s="5"/>
      <c r="E160" s="5"/>
      <c r="F160" s="5"/>
      <c r="G160" s="5"/>
      <c r="H160" s="5"/>
      <c r="I160" s="293" t="s">
        <v>1943</v>
      </c>
      <c r="J160" s="667">
        <f>+N144</f>
        <v>3370411.5776225273</v>
      </c>
      <c r="K160" s="293" t="s">
        <v>1842</v>
      </c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 spans="1:32" x14ac:dyDescent="0.2">
      <c r="A161" s="5"/>
      <c r="B161" s="5"/>
      <c r="C161" s="5"/>
      <c r="D161" s="5"/>
      <c r="E161" s="5"/>
      <c r="F161" s="5"/>
      <c r="G161" s="5"/>
      <c r="H161" s="5"/>
      <c r="I161" s="293" t="s">
        <v>1944</v>
      </c>
      <c r="J161" s="667">
        <f>+'Outer Tank Anchors'!K26*J105/24</f>
        <v>20762843.059502177</v>
      </c>
      <c r="K161" s="293" t="s">
        <v>1842</v>
      </c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 spans="1:32" x14ac:dyDescent="0.2">
      <c r="A162" s="5"/>
      <c r="B162" s="5"/>
      <c r="C162" s="5"/>
      <c r="D162" s="5"/>
      <c r="E162" s="5"/>
      <c r="F162" s="5"/>
      <c r="G162" s="5"/>
      <c r="H162" s="5"/>
      <c r="I162" s="293" t="s">
        <v>1945</v>
      </c>
      <c r="J162" s="667">
        <f>+'Weight Calculations'!H161*2.2*J105/24</f>
        <v>2965543.7405029503</v>
      </c>
      <c r="K162" s="293" t="s">
        <v>1842</v>
      </c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 spans="1:32" x14ac:dyDescent="0.2">
      <c r="A163" s="5"/>
      <c r="B163" s="5"/>
      <c r="C163" s="5"/>
      <c r="D163" s="5"/>
      <c r="E163" s="5"/>
      <c r="F163" s="5"/>
      <c r="G163" s="5"/>
      <c r="H163" s="5"/>
      <c r="I163" s="293" t="s">
        <v>1946</v>
      </c>
      <c r="J163" s="293">
        <f>+'Weight Calculations'!H162*2.2*J105/24</f>
        <v>4211701.8407112258</v>
      </c>
      <c r="K163" s="293" t="s">
        <v>1842</v>
      </c>
      <c r="L163" s="64"/>
      <c r="M163" s="64"/>
      <c r="N163" s="64"/>
      <c r="O163" s="64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1:32" x14ac:dyDescent="0.2">
      <c r="A164" s="5"/>
      <c r="B164" s="5"/>
      <c r="C164" s="5"/>
      <c r="D164" s="5"/>
      <c r="E164" s="5"/>
      <c r="F164" s="5"/>
      <c r="G164" s="5"/>
      <c r="H164" s="5"/>
      <c r="I164" s="293" t="s">
        <v>1947</v>
      </c>
      <c r="J164" s="667">
        <f>+N138</f>
        <v>2581533.4915967016</v>
      </c>
      <c r="K164" s="293" t="s">
        <v>1842</v>
      </c>
      <c r="L164" s="64"/>
      <c r="M164" s="64"/>
      <c r="N164" s="64"/>
      <c r="O164" s="64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 x14ac:dyDescent="0.2">
      <c r="A165" s="5"/>
      <c r="B165" s="5"/>
      <c r="C165" s="5"/>
      <c r="D165" s="5"/>
      <c r="E165" s="5"/>
      <c r="F165" s="5"/>
      <c r="G165" s="5"/>
      <c r="H165" s="5"/>
      <c r="I165" s="293" t="s">
        <v>1887</v>
      </c>
      <c r="J165" s="293">
        <v>0</v>
      </c>
      <c r="K165" s="293" t="s">
        <v>1842</v>
      </c>
      <c r="L165" s="64" t="s">
        <v>1948</v>
      </c>
      <c r="M165" s="64"/>
      <c r="N165" s="64"/>
      <c r="O165" s="64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 x14ac:dyDescent="0.2">
      <c r="A166" s="5"/>
      <c r="B166" s="5"/>
      <c r="C166" s="5"/>
      <c r="D166" s="5"/>
      <c r="E166" s="5"/>
      <c r="F166" s="5"/>
      <c r="G166" s="5"/>
      <c r="H166" s="5"/>
      <c r="I166" s="64"/>
      <c r="J166" s="64"/>
      <c r="K166" s="64"/>
      <c r="L166" s="64"/>
      <c r="M166" s="64"/>
      <c r="N166" s="64"/>
      <c r="O166" s="64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 x14ac:dyDescent="0.2">
      <c r="A167" s="5"/>
      <c r="B167" s="5"/>
      <c r="C167" s="5"/>
      <c r="D167" s="5"/>
      <c r="E167" s="5"/>
      <c r="F167" s="5"/>
      <c r="G167" s="5"/>
      <c r="H167" s="5"/>
      <c r="I167" s="64"/>
      <c r="J167" s="64"/>
      <c r="K167" s="64"/>
      <c r="L167" s="64"/>
      <c r="M167" s="64"/>
      <c r="N167" s="64"/>
      <c r="O167" s="64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x14ac:dyDescent="0.2">
      <c r="A168" s="5"/>
      <c r="B168" s="5"/>
      <c r="C168" s="5"/>
      <c r="D168" s="5"/>
      <c r="E168" s="5"/>
      <c r="F168" s="5"/>
      <c r="G168" s="5"/>
      <c r="H168" s="5"/>
      <c r="I168" s="293" t="s">
        <v>1936</v>
      </c>
      <c r="J168" s="293" t="s">
        <v>1949</v>
      </c>
      <c r="K168" s="293"/>
      <c r="L168" s="293" t="s">
        <v>1950</v>
      </c>
      <c r="M168" s="293"/>
      <c r="N168" s="293"/>
      <c r="O168" s="64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 x14ac:dyDescent="0.2">
      <c r="A169" s="5"/>
      <c r="B169" s="5"/>
      <c r="C169" s="5"/>
      <c r="D169" s="5"/>
      <c r="E169" s="5"/>
      <c r="F169" s="5"/>
      <c r="G169" s="5"/>
      <c r="H169" s="5"/>
      <c r="I169" s="293"/>
      <c r="J169" s="293">
        <f>0.6*J160+J161</f>
        <v>22785090.006075695</v>
      </c>
      <c r="K169" s="293"/>
      <c r="L169" s="293">
        <f>+(J162/5)+J163</f>
        <v>4804810.5888118157</v>
      </c>
      <c r="M169" s="293"/>
      <c r="N169" s="293" t="str">
        <f>+IF(J169&lt;L169, "OK","NO OK")</f>
        <v>NO OK</v>
      </c>
      <c r="O169" s="64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 x14ac:dyDescent="0.2">
      <c r="A170" s="5"/>
      <c r="B170" s="5"/>
      <c r="C170" s="5"/>
      <c r="D170" s="5"/>
      <c r="E170" s="5"/>
      <c r="F170" s="5"/>
      <c r="G170" s="5"/>
      <c r="H170" s="5"/>
      <c r="I170" s="293" t="s">
        <v>1938</v>
      </c>
      <c r="J170" s="293" t="s">
        <v>1951</v>
      </c>
      <c r="K170" s="293"/>
      <c r="L170" s="293" t="s">
        <v>1952</v>
      </c>
      <c r="M170" s="293"/>
      <c r="N170" s="293"/>
      <c r="O170" s="64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 x14ac:dyDescent="0.2">
      <c r="A171" s="5"/>
      <c r="B171" s="5"/>
      <c r="C171" s="5"/>
      <c r="D171" s="5"/>
      <c r="E171" s="5"/>
      <c r="F171" s="5"/>
      <c r="G171" s="5"/>
      <c r="H171" s="5"/>
      <c r="I171" s="293"/>
      <c r="J171" s="293">
        <f>+J160+0.4*J161</f>
        <v>11675548.801423399</v>
      </c>
      <c r="K171" s="293"/>
      <c r="L171" s="293">
        <f>+((J162+J165)/2)+J163</f>
        <v>5694473.7109627007</v>
      </c>
      <c r="M171" s="293"/>
      <c r="N171" s="293" t="str">
        <f>+IF(J171&lt;L171, "OK","NO OK")</f>
        <v>NO OK</v>
      </c>
      <c r="O171" s="64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1:32" x14ac:dyDescent="0.2">
      <c r="A172" s="5"/>
      <c r="B172" s="5"/>
      <c r="C172" s="5"/>
      <c r="D172" s="5"/>
      <c r="E172" s="5"/>
      <c r="F172" s="5"/>
      <c r="G172" s="5"/>
      <c r="H172" s="5"/>
      <c r="I172" s="293" t="s">
        <v>1940</v>
      </c>
      <c r="J172" s="293" t="s">
        <v>1953</v>
      </c>
      <c r="K172" s="293"/>
      <c r="L172" s="293" t="s">
        <v>1950</v>
      </c>
      <c r="M172" s="293"/>
      <c r="N172" s="293"/>
      <c r="O172" s="64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spans="1:32" x14ac:dyDescent="0.2">
      <c r="A173" s="5"/>
      <c r="B173" s="5"/>
      <c r="C173" s="5"/>
      <c r="D173" s="5"/>
      <c r="E173" s="5"/>
      <c r="F173" s="5"/>
      <c r="G173" s="5"/>
      <c r="H173" s="5"/>
      <c r="I173" s="293"/>
      <c r="J173" s="293">
        <f>+J164+0.4*J161</f>
        <v>10886670.715397574</v>
      </c>
      <c r="K173" s="293"/>
      <c r="L173" s="293">
        <f>+L169</f>
        <v>4804810.5888118157</v>
      </c>
      <c r="M173" s="293"/>
      <c r="N173" s="293" t="str">
        <f>+IF(J173&lt;L173, "OK","NO OK")</f>
        <v>NO OK</v>
      </c>
      <c r="O173" s="64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 x14ac:dyDescent="0.2">
      <c r="A174" s="5"/>
      <c r="B174" s="5"/>
      <c r="C174" s="5"/>
      <c r="D174" s="5"/>
      <c r="E174" s="5"/>
      <c r="F174" s="5"/>
      <c r="G174" s="5"/>
      <c r="H174" s="5"/>
      <c r="I174" s="64"/>
      <c r="J174" s="64"/>
      <c r="K174" s="64"/>
      <c r="L174" s="64"/>
      <c r="M174" s="64"/>
      <c r="N174" s="64"/>
      <c r="O174" s="64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 x14ac:dyDescent="0.2">
      <c r="A175" s="5"/>
      <c r="B175" s="5"/>
      <c r="C175" s="5"/>
      <c r="D175" s="5"/>
      <c r="E175" s="5"/>
      <c r="F175" s="5"/>
      <c r="G175" s="5"/>
      <c r="H175" s="5"/>
      <c r="I175" s="143" t="str">
        <f>+IF(AND(N169="OK",N171="OK",N173="OK"),"UNANCHORED TANK","ANCHORED TANK")</f>
        <v>ANCHORED TANK</v>
      </c>
      <c r="J175" s="41"/>
      <c r="K175" s="41"/>
      <c r="L175" s="41"/>
      <c r="M175" s="42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</sheetData>
  <mergeCells count="156">
    <mergeCell ref="B138:E139"/>
    <mergeCell ref="J130:M131"/>
    <mergeCell ref="J138:M139"/>
    <mergeCell ref="B130:E131"/>
    <mergeCell ref="A99:C99"/>
    <mergeCell ref="E99:F99"/>
    <mergeCell ref="I99:K99"/>
    <mergeCell ref="M99:N99"/>
    <mergeCell ref="A116:G117"/>
    <mergeCell ref="I116:O117"/>
    <mergeCell ref="B133:E134"/>
    <mergeCell ref="J133:M134"/>
    <mergeCell ref="A95:C97"/>
    <mergeCell ref="D95:H95"/>
    <mergeCell ref="I95:K97"/>
    <mergeCell ref="L95:P95"/>
    <mergeCell ref="D96:H96"/>
    <mergeCell ref="L96:P96"/>
    <mergeCell ref="D97:H97"/>
    <mergeCell ref="L97:P97"/>
    <mergeCell ref="A98:C98"/>
    <mergeCell ref="E98:F98"/>
    <mergeCell ref="G98:H98"/>
    <mergeCell ref="I98:K98"/>
    <mergeCell ref="M98:N98"/>
    <mergeCell ref="O98:P98"/>
    <mergeCell ref="AC45:AF45"/>
    <mergeCell ref="AC46:AF46"/>
    <mergeCell ref="AC47:AF47"/>
    <mergeCell ref="AC50:AF51"/>
    <mergeCell ref="U42:X42"/>
    <mergeCell ref="U39:X40"/>
    <mergeCell ref="AB16:AE17"/>
    <mergeCell ref="U47:X47"/>
    <mergeCell ref="U50:X51"/>
    <mergeCell ref="U45:X45"/>
    <mergeCell ref="U46:X46"/>
    <mergeCell ref="R17:U17"/>
    <mergeCell ref="V17:W17"/>
    <mergeCell ref="Y39:Y40"/>
    <mergeCell ref="Z39:Z40"/>
    <mergeCell ref="AA39:AA40"/>
    <mergeCell ref="AB39:AB40"/>
    <mergeCell ref="AC39:AF40"/>
    <mergeCell ref="AC42:AF42"/>
    <mergeCell ref="R18:U18"/>
    <mergeCell ref="R19:U19"/>
    <mergeCell ref="Q24:X24"/>
    <mergeCell ref="R20:U20"/>
    <mergeCell ref="R21:U21"/>
    <mergeCell ref="Y7:AA9"/>
    <mergeCell ref="AB7:AF7"/>
    <mergeCell ref="AB8:AF8"/>
    <mergeCell ref="AB9:AF9"/>
    <mergeCell ref="Y10:AA10"/>
    <mergeCell ref="AC10:AD10"/>
    <mergeCell ref="AE10:AF10"/>
    <mergeCell ref="Y11:AA11"/>
    <mergeCell ref="AC11:AD11"/>
    <mergeCell ref="Q11:S11"/>
    <mergeCell ref="U11:V11"/>
    <mergeCell ref="Q7:S9"/>
    <mergeCell ref="T7:X7"/>
    <mergeCell ref="T8:X8"/>
    <mergeCell ref="T9:X9"/>
    <mergeCell ref="Q10:S10"/>
    <mergeCell ref="U10:V10"/>
    <mergeCell ref="W10:X10"/>
    <mergeCell ref="B32:E32"/>
    <mergeCell ref="B33:E33"/>
    <mergeCell ref="B35:E35"/>
    <mergeCell ref="B36:E36"/>
    <mergeCell ref="B39:E40"/>
    <mergeCell ref="B42:E43"/>
    <mergeCell ref="R22:U22"/>
    <mergeCell ref="Q39:Q40"/>
    <mergeCell ref="R39:R40"/>
    <mergeCell ref="S39:S40"/>
    <mergeCell ref="T39:T40"/>
    <mergeCell ref="A11:C11"/>
    <mergeCell ref="E11:F11"/>
    <mergeCell ref="A27:G28"/>
    <mergeCell ref="A7:C9"/>
    <mergeCell ref="D7:H7"/>
    <mergeCell ref="D8:H8"/>
    <mergeCell ref="D9:H9"/>
    <mergeCell ref="E10:F10"/>
    <mergeCell ref="G10:H10"/>
    <mergeCell ref="A10:C10"/>
    <mergeCell ref="A52:C54"/>
    <mergeCell ref="D52:H52"/>
    <mergeCell ref="D53:H53"/>
    <mergeCell ref="D54:H54"/>
    <mergeCell ref="A55:C55"/>
    <mergeCell ref="E55:F55"/>
    <mergeCell ref="G55:H55"/>
    <mergeCell ref="A56:C56"/>
    <mergeCell ref="E56:F56"/>
    <mergeCell ref="I11:K11"/>
    <mergeCell ref="M11:N11"/>
    <mergeCell ref="I27:O28"/>
    <mergeCell ref="J32:M32"/>
    <mergeCell ref="J33:M33"/>
    <mergeCell ref="I7:K9"/>
    <mergeCell ref="L7:P7"/>
    <mergeCell ref="L8:P8"/>
    <mergeCell ref="L9:P9"/>
    <mergeCell ref="I10:K10"/>
    <mergeCell ref="M10:N10"/>
    <mergeCell ref="O10:P10"/>
    <mergeCell ref="I55:K55"/>
    <mergeCell ref="M55:N55"/>
    <mergeCell ref="O55:P55"/>
    <mergeCell ref="I56:K56"/>
    <mergeCell ref="M56:N56"/>
    <mergeCell ref="J35:M35"/>
    <mergeCell ref="J36:M36"/>
    <mergeCell ref="J39:M40"/>
    <mergeCell ref="J42:M43"/>
    <mergeCell ref="I52:K54"/>
    <mergeCell ref="L52:P52"/>
    <mergeCell ref="L53:P53"/>
    <mergeCell ref="L54:P54"/>
    <mergeCell ref="B141:E142"/>
    <mergeCell ref="J141:M142"/>
    <mergeCell ref="K84:P85"/>
    <mergeCell ref="K74:P75"/>
    <mergeCell ref="K76:P77"/>
    <mergeCell ref="K78:P79"/>
    <mergeCell ref="K80:P81"/>
    <mergeCell ref="K82:P83"/>
    <mergeCell ref="I59:O60"/>
    <mergeCell ref="K66:P67"/>
    <mergeCell ref="K68:P69"/>
    <mergeCell ref="K70:P71"/>
    <mergeCell ref="K72:P73"/>
    <mergeCell ref="C84:H85"/>
    <mergeCell ref="C82:H83"/>
    <mergeCell ref="A59:G60"/>
    <mergeCell ref="C74:H75"/>
    <mergeCell ref="C76:H77"/>
    <mergeCell ref="C78:H79"/>
    <mergeCell ref="C80:H81"/>
    <mergeCell ref="C66:H67"/>
    <mergeCell ref="C68:H69"/>
    <mergeCell ref="C70:H71"/>
    <mergeCell ref="C72:H73"/>
    <mergeCell ref="I146:K148"/>
    <mergeCell ref="L146:P146"/>
    <mergeCell ref="L147:P147"/>
    <mergeCell ref="L148:P148"/>
    <mergeCell ref="I149:K149"/>
    <mergeCell ref="M149:N149"/>
    <mergeCell ref="O149:P149"/>
    <mergeCell ref="I150:K150"/>
    <mergeCell ref="M150:N150"/>
  </mergeCells>
  <pageMargins left="0.74803149606299213" right="0.74803149606299213" top="0.98425196850393704" bottom="0.98425196850393704" header="0" footer="0"/>
  <pageSetup paperSize="9" fitToHeight="0" orientation="portrait"/>
  <rowBreaks count="3" manualBreakCount="3">
    <brk id="51" max="7" man="1"/>
    <brk id="51" min="8" max="15" man="1"/>
    <brk id="144" min="8" max="15" man="1"/>
  </rowBreaks>
  <colBreaks count="2" manualBreakCount="2">
    <brk id="16" min="6" max="87" man="1"/>
    <brk id="2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Y209"/>
  <sheetViews>
    <sheetView zoomScaleNormal="100" workbookViewId="0">
      <selection activeCell="I4" sqref="I4:K5"/>
    </sheetView>
    <sheetView tabSelected="1" workbookViewId="1">
      <selection sqref="A1:AK5"/>
    </sheetView>
  </sheetViews>
  <sheetFormatPr defaultColWidth="9.140625" defaultRowHeight="12.75" x14ac:dyDescent="0.2"/>
  <cols>
    <col min="1" max="1" width="10" customWidth="1"/>
    <col min="2" max="2" width="14" customWidth="1"/>
    <col min="3" max="3" width="9.140625" customWidth="1"/>
    <col min="4" max="4" width="16" customWidth="1"/>
    <col min="5" max="5" width="10.42578125" customWidth="1"/>
    <col min="6" max="6" width="8.140625" customWidth="1"/>
    <col min="7" max="7" width="7.85546875" customWidth="1"/>
    <col min="8" max="8" width="6.140625" customWidth="1"/>
    <col min="9" max="9" width="15" customWidth="1"/>
    <col min="10" max="12" width="12.140625" customWidth="1"/>
    <col min="13" max="13" width="14" customWidth="1"/>
    <col min="14" max="14" width="13.140625" customWidth="1"/>
    <col min="15" max="15" width="13.42578125" customWidth="1"/>
    <col min="16" max="16" width="13.140625" customWidth="1"/>
    <col min="18" max="18" width="11.140625" customWidth="1"/>
    <col min="26" max="26" width="8.140625" customWidth="1"/>
  </cols>
  <sheetData>
    <row r="1" spans="1:25" ht="17.25" customHeight="1" thickTop="1" thickBot="1" x14ac:dyDescent="0.3">
      <c r="A1" s="668"/>
      <c r="B1" s="669"/>
      <c r="C1" s="670"/>
      <c r="D1" s="1056" t="str">
        <f>'Front Page'!$A$13</f>
        <v>Mechanical  Calculations</v>
      </c>
      <c r="E1" s="842"/>
      <c r="F1" s="842"/>
      <c r="G1" s="842"/>
      <c r="H1" s="859"/>
      <c r="I1" s="668"/>
      <c r="J1" s="669"/>
      <c r="K1" s="670"/>
      <c r="L1" s="1056" t="str">
        <f>'Front Page'!$A$13</f>
        <v>Mechanical  Calculations</v>
      </c>
      <c r="M1" s="842"/>
      <c r="N1" s="842"/>
      <c r="O1" s="842"/>
      <c r="P1" s="859"/>
      <c r="Q1" s="5"/>
      <c r="R1" s="5"/>
      <c r="S1" s="5"/>
      <c r="T1" s="5"/>
      <c r="U1" s="5"/>
      <c r="V1" s="5"/>
      <c r="W1" s="5"/>
      <c r="X1" s="5"/>
      <c r="Y1" s="5"/>
    </row>
    <row r="2" spans="1:25" ht="16.5" customHeight="1" thickBot="1" x14ac:dyDescent="0.3">
      <c r="A2" s="671"/>
      <c r="B2" s="433"/>
      <c r="C2" s="450"/>
      <c r="D2" s="1057"/>
      <c r="E2" s="831"/>
      <c r="F2" s="831"/>
      <c r="G2" s="831"/>
      <c r="H2" s="854"/>
      <c r="I2" s="671"/>
      <c r="J2" s="433"/>
      <c r="K2" s="450"/>
      <c r="L2" s="1057"/>
      <c r="M2" s="831"/>
      <c r="N2" s="831"/>
      <c r="O2" s="831"/>
      <c r="P2" s="854"/>
      <c r="Q2" s="5"/>
      <c r="R2" s="5"/>
      <c r="S2" s="5"/>
      <c r="T2" s="5"/>
      <c r="U2" s="5"/>
      <c r="V2" s="5"/>
      <c r="W2" s="5"/>
      <c r="X2" s="5"/>
      <c r="Y2" s="5"/>
    </row>
    <row r="3" spans="1:25" ht="16.5" customHeight="1" thickBot="1" x14ac:dyDescent="0.3">
      <c r="A3" s="672"/>
      <c r="B3" s="673"/>
      <c r="C3" s="674"/>
      <c r="D3" s="1060" t="s">
        <v>1954</v>
      </c>
      <c r="E3" s="834"/>
      <c r="F3" s="834"/>
      <c r="G3" s="834"/>
      <c r="H3" s="986"/>
      <c r="I3" s="672"/>
      <c r="J3" s="673"/>
      <c r="K3" s="674"/>
      <c r="L3" s="1060" t="s">
        <v>1954</v>
      </c>
      <c r="M3" s="834"/>
      <c r="N3" s="834"/>
      <c r="O3" s="834"/>
      <c r="P3" s="986"/>
      <c r="Q3" s="5"/>
      <c r="R3" s="5"/>
      <c r="S3" s="5"/>
      <c r="T3" s="5"/>
      <c r="U3" s="5"/>
      <c r="V3" s="5"/>
      <c r="W3" s="5"/>
      <c r="X3" s="5"/>
      <c r="Y3" s="5"/>
    </row>
    <row r="4" spans="1:25" ht="16.5" customHeight="1" thickTop="1" thickBot="1" x14ac:dyDescent="0.3">
      <c r="A4" s="1062"/>
      <c r="B4" s="848"/>
      <c r="C4" s="865"/>
      <c r="D4" s="675" t="str">
        <f>'Front Page'!$D$4</f>
        <v>Doc Nº</v>
      </c>
      <c r="E4" s="1052"/>
      <c r="F4" s="843"/>
      <c r="G4" s="1052"/>
      <c r="H4" s="843"/>
      <c r="I4" s="1062"/>
      <c r="J4" s="848"/>
      <c r="K4" s="865"/>
      <c r="L4" s="675" t="str">
        <f>'Front Page'!$D$4</f>
        <v>Doc Nº</v>
      </c>
      <c r="M4" s="1052"/>
      <c r="N4" s="843"/>
      <c r="O4" s="1052"/>
      <c r="P4" s="843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thickBot="1" x14ac:dyDescent="0.3">
      <c r="A5" s="1058"/>
      <c r="B5" s="851"/>
      <c r="C5" s="861"/>
      <c r="D5" s="676" t="str">
        <f>'Front Page'!$D$5</f>
        <v>Project</v>
      </c>
      <c r="E5" s="1061"/>
      <c r="F5" s="835"/>
      <c r="G5" s="677" t="s">
        <v>5</v>
      </c>
      <c r="H5" s="678"/>
      <c r="I5" s="1058"/>
      <c r="J5" s="851"/>
      <c r="K5" s="861"/>
      <c r="L5" s="676" t="str">
        <f>'Front Page'!$D$5</f>
        <v>Project</v>
      </c>
      <c r="M5" s="1061"/>
      <c r="N5" s="835"/>
      <c r="O5" s="677" t="s">
        <v>5</v>
      </c>
      <c r="P5" s="679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thickTop="1" x14ac:dyDescent="0.2">
      <c r="A6" s="433"/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5"/>
      <c r="R6" s="5"/>
      <c r="S6" s="5"/>
      <c r="T6" s="5"/>
      <c r="U6" s="5"/>
      <c r="V6" s="5"/>
      <c r="W6" s="5"/>
      <c r="X6" s="5"/>
      <c r="Y6" s="5"/>
    </row>
    <row r="7" spans="1:25" ht="20.25" customHeight="1" x14ac:dyDescent="0.3">
      <c r="A7" s="63" t="s">
        <v>1955</v>
      </c>
      <c r="B7" s="5"/>
      <c r="C7" s="5"/>
      <c r="D7" s="5"/>
      <c r="E7" s="5"/>
      <c r="F7" s="5"/>
      <c r="G7" s="5"/>
      <c r="H7" s="5"/>
      <c r="I7" s="63" t="s">
        <v>1956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2.75" customHeight="1" x14ac:dyDescent="0.2">
      <c r="A9" s="5" t="s">
        <v>1957</v>
      </c>
      <c r="B9" s="433">
        <f>0.47*B12</f>
        <v>0.70499999999999996</v>
      </c>
      <c r="C9" s="1053" t="s">
        <v>1958</v>
      </c>
      <c r="D9" s="809"/>
      <c r="E9" s="809"/>
      <c r="F9" s="809"/>
      <c r="G9" s="809"/>
      <c r="H9" s="809"/>
      <c r="I9" s="5" t="s">
        <v>1957</v>
      </c>
      <c r="J9" s="641">
        <f t="shared" ref="J9:J19" si="0">B9</f>
        <v>0.70499999999999996</v>
      </c>
      <c r="K9" s="1053" t="s">
        <v>1958</v>
      </c>
      <c r="L9" s="809"/>
      <c r="M9" s="809"/>
      <c r="N9" s="809"/>
      <c r="O9" s="809"/>
      <c r="P9" s="809"/>
      <c r="Q9" s="5"/>
      <c r="R9" s="5"/>
      <c r="S9" s="5"/>
      <c r="T9" s="5"/>
      <c r="U9" s="5"/>
      <c r="V9" s="5"/>
      <c r="W9" s="5"/>
      <c r="X9" s="5"/>
      <c r="Y9" s="5"/>
    </row>
    <row r="10" spans="1:25" ht="12.75" customHeight="1" x14ac:dyDescent="0.2">
      <c r="A10" s="5" t="s">
        <v>1959</v>
      </c>
      <c r="B10" s="680">
        <v>0</v>
      </c>
      <c r="C10" s="1053" t="s">
        <v>1960</v>
      </c>
      <c r="D10" s="809"/>
      <c r="E10" s="809"/>
      <c r="F10" s="809"/>
      <c r="G10" s="809"/>
      <c r="H10" s="809"/>
      <c r="I10" s="5" t="s">
        <v>1959</v>
      </c>
      <c r="J10" s="681">
        <f t="shared" si="0"/>
        <v>0</v>
      </c>
      <c r="K10" s="1053" t="s">
        <v>1960</v>
      </c>
      <c r="L10" s="809"/>
      <c r="M10" s="809"/>
      <c r="N10" s="809"/>
      <c r="O10" s="809"/>
      <c r="P10" s="809"/>
      <c r="Q10" s="5"/>
      <c r="R10" s="5"/>
      <c r="S10" s="5"/>
      <c r="T10" s="5"/>
      <c r="U10" s="5"/>
      <c r="V10" s="5"/>
      <c r="W10" s="5"/>
      <c r="X10" s="5"/>
      <c r="Y10" s="5"/>
    </row>
    <row r="11" spans="1:25" ht="27" customHeight="1" x14ac:dyDescent="0.2">
      <c r="A11" s="5" t="s">
        <v>1961</v>
      </c>
      <c r="B11" s="216">
        <v>4</v>
      </c>
      <c r="C11" s="1053" t="s">
        <v>1962</v>
      </c>
      <c r="D11" s="809"/>
      <c r="E11" s="809"/>
      <c r="F11" s="809"/>
      <c r="G11" s="809"/>
      <c r="H11" s="809"/>
      <c r="I11" s="5" t="s">
        <v>1961</v>
      </c>
      <c r="J11" s="274">
        <f t="shared" si="0"/>
        <v>4</v>
      </c>
      <c r="K11" s="1053" t="s">
        <v>1962</v>
      </c>
      <c r="L11" s="809"/>
      <c r="M11" s="809"/>
      <c r="N11" s="809"/>
      <c r="O11" s="809"/>
      <c r="P11" s="809"/>
      <c r="Q11" s="5"/>
      <c r="R11" s="592" t="s">
        <v>1963</v>
      </c>
      <c r="S11" s="266"/>
      <c r="T11" s="5"/>
      <c r="U11" s="5"/>
      <c r="V11" s="5"/>
      <c r="W11" s="5"/>
      <c r="X11" s="5"/>
      <c r="Y11" s="5"/>
    </row>
    <row r="12" spans="1:25" ht="28.5" customHeight="1" x14ac:dyDescent="0.2">
      <c r="A12" s="5" t="s">
        <v>1964</v>
      </c>
      <c r="B12" s="640">
        <f>R12</f>
        <v>1.5</v>
      </c>
      <c r="C12" s="1059" t="s">
        <v>1965</v>
      </c>
      <c r="D12" s="809"/>
      <c r="E12" s="809"/>
      <c r="F12" s="809"/>
      <c r="G12" s="809"/>
      <c r="H12" s="809"/>
      <c r="I12" s="5" t="s">
        <v>1964</v>
      </c>
      <c r="J12" s="332">
        <f t="shared" si="0"/>
        <v>1.5</v>
      </c>
      <c r="K12" s="1053" t="s">
        <v>1966</v>
      </c>
      <c r="L12" s="809"/>
      <c r="M12" s="809"/>
      <c r="N12" s="809"/>
      <c r="O12" s="809"/>
      <c r="P12" s="809"/>
      <c r="Q12" s="5"/>
      <c r="R12" s="592">
        <v>1.5</v>
      </c>
      <c r="S12" s="266" t="s">
        <v>1742</v>
      </c>
      <c r="T12" s="5"/>
      <c r="U12" s="5"/>
      <c r="V12" s="5"/>
      <c r="W12" s="5"/>
      <c r="X12" s="5"/>
      <c r="Y12" s="5"/>
    </row>
    <row r="13" spans="1:25" ht="25.5" customHeight="1" x14ac:dyDescent="0.2">
      <c r="A13" s="5" t="s">
        <v>1967</v>
      </c>
      <c r="B13" s="640">
        <v>1.35</v>
      </c>
      <c r="C13" s="1059" t="s">
        <v>1968</v>
      </c>
      <c r="D13" s="809"/>
      <c r="E13" s="809"/>
      <c r="F13" s="809"/>
      <c r="G13" s="809"/>
      <c r="H13" s="809"/>
      <c r="I13" s="5" t="s">
        <v>1967</v>
      </c>
      <c r="J13" s="332">
        <f t="shared" si="0"/>
        <v>1.35</v>
      </c>
      <c r="K13" s="1053" t="s">
        <v>1969</v>
      </c>
      <c r="L13" s="809"/>
      <c r="M13" s="809"/>
      <c r="N13" s="809"/>
      <c r="O13" s="809"/>
      <c r="P13" s="809"/>
      <c r="Q13" s="5"/>
      <c r="R13" s="592">
        <v>0.7</v>
      </c>
      <c r="S13" s="266" t="s">
        <v>1970</v>
      </c>
      <c r="T13" s="5"/>
      <c r="U13" s="5"/>
      <c r="V13" s="5"/>
      <c r="W13" s="5"/>
      <c r="X13" s="5"/>
      <c r="Y13" s="5"/>
    </row>
    <row r="14" spans="1:25" ht="12.75" customHeight="1" x14ac:dyDescent="0.2">
      <c r="A14" s="5" t="s">
        <v>1971</v>
      </c>
      <c r="B14" s="433">
        <f>'Earthquake API 650 Inner Tank'!B14</f>
        <v>1</v>
      </c>
      <c r="C14" s="1053" t="s">
        <v>1972</v>
      </c>
      <c r="D14" s="809"/>
      <c r="E14" s="809"/>
      <c r="F14" s="809"/>
      <c r="G14" s="809"/>
      <c r="H14" s="809"/>
      <c r="I14" s="5" t="s">
        <v>1971</v>
      </c>
      <c r="J14" s="274">
        <f t="shared" si="0"/>
        <v>1</v>
      </c>
      <c r="K14" s="1053" t="s">
        <v>1972</v>
      </c>
      <c r="L14" s="809"/>
      <c r="M14" s="809"/>
      <c r="N14" s="809"/>
      <c r="O14" s="809"/>
      <c r="P14" s="809"/>
      <c r="Q14" s="5"/>
      <c r="R14" s="266" t="s">
        <v>1973</v>
      </c>
      <c r="S14" s="5"/>
      <c r="T14" s="5"/>
      <c r="U14" s="5"/>
      <c r="V14" s="5"/>
      <c r="W14" s="5"/>
      <c r="X14" s="5"/>
      <c r="Y14" s="5"/>
    </row>
    <row r="15" spans="1:25" ht="12.75" customHeight="1" x14ac:dyDescent="0.2">
      <c r="A15" s="5" t="s">
        <v>190</v>
      </c>
      <c r="B15" s="259">
        <v>1.5</v>
      </c>
      <c r="C15" s="1053" t="s">
        <v>1974</v>
      </c>
      <c r="D15" s="809"/>
      <c r="E15" s="809"/>
      <c r="F15" s="809"/>
      <c r="G15" s="809"/>
      <c r="H15" s="809"/>
      <c r="I15" s="5" t="s">
        <v>190</v>
      </c>
      <c r="J15" s="267">
        <f t="shared" si="0"/>
        <v>1.5</v>
      </c>
      <c r="K15" s="1053" t="s">
        <v>1974</v>
      </c>
      <c r="L15" s="809"/>
      <c r="M15" s="809"/>
      <c r="N15" s="809"/>
      <c r="O15" s="809"/>
      <c r="P15" s="809"/>
      <c r="Q15" s="5"/>
      <c r="R15" s="5"/>
      <c r="S15" s="5"/>
      <c r="T15" s="5"/>
      <c r="U15" s="5"/>
      <c r="V15" s="5"/>
      <c r="W15" s="5"/>
      <c r="X15" s="5"/>
      <c r="Y15" s="5"/>
    </row>
    <row r="16" spans="1:25" ht="26.25" customHeight="1" x14ac:dyDescent="0.2">
      <c r="A16" s="5" t="s">
        <v>1975</v>
      </c>
      <c r="B16" s="216">
        <v>1</v>
      </c>
      <c r="C16" s="1053" t="s">
        <v>1976</v>
      </c>
      <c r="D16" s="809"/>
      <c r="E16" s="809"/>
      <c r="F16" s="809"/>
      <c r="G16" s="809"/>
      <c r="H16" s="809"/>
      <c r="I16" s="5" t="s">
        <v>1975</v>
      </c>
      <c r="J16" s="274">
        <f t="shared" si="0"/>
        <v>1</v>
      </c>
      <c r="K16" s="1059" t="s">
        <v>1977</v>
      </c>
      <c r="L16" s="809"/>
      <c r="M16" s="809"/>
      <c r="N16" s="809"/>
      <c r="O16" s="809"/>
      <c r="P16" s="809"/>
      <c r="Q16" s="5"/>
      <c r="R16" s="5"/>
      <c r="S16" s="5"/>
      <c r="T16" s="5"/>
      <c r="U16" s="5"/>
      <c r="V16" s="5"/>
      <c r="W16" s="5"/>
      <c r="X16" s="5"/>
      <c r="Y16" s="5"/>
    </row>
    <row r="17" spans="1:25" ht="27.75" customHeight="1" x14ac:dyDescent="0.2">
      <c r="A17" s="5" t="s">
        <v>1978</v>
      </c>
      <c r="B17" s="216">
        <v>1</v>
      </c>
      <c r="C17" s="1053" t="s">
        <v>1979</v>
      </c>
      <c r="D17" s="809"/>
      <c r="E17" s="809"/>
      <c r="F17" s="809"/>
      <c r="G17" s="809"/>
      <c r="H17" s="809"/>
      <c r="I17" s="5" t="s">
        <v>1978</v>
      </c>
      <c r="J17" s="274">
        <f t="shared" si="0"/>
        <v>1</v>
      </c>
      <c r="K17" s="1059" t="s">
        <v>1977</v>
      </c>
      <c r="L17" s="809"/>
      <c r="M17" s="809"/>
      <c r="N17" s="809"/>
      <c r="O17" s="809"/>
      <c r="P17" s="809"/>
      <c r="Q17" s="5"/>
      <c r="R17" s="5"/>
      <c r="S17" s="5"/>
      <c r="T17" s="5"/>
      <c r="U17" s="5"/>
      <c r="V17" s="5"/>
      <c r="W17" s="5"/>
      <c r="X17" s="5"/>
      <c r="Y17" s="5"/>
    </row>
    <row r="18" spans="1:25" ht="12.75" customHeight="1" x14ac:dyDescent="0.2">
      <c r="A18" s="5" t="s">
        <v>1980</v>
      </c>
      <c r="B18" s="216">
        <v>1</v>
      </c>
      <c r="C18" s="1053" t="s">
        <v>1981</v>
      </c>
      <c r="D18" s="809"/>
      <c r="E18" s="809"/>
      <c r="F18" s="809"/>
      <c r="G18" s="809"/>
      <c r="H18" s="809"/>
      <c r="I18" s="5" t="s">
        <v>1980</v>
      </c>
      <c r="J18" s="274">
        <f t="shared" si="0"/>
        <v>1</v>
      </c>
      <c r="K18" s="1053" t="s">
        <v>1981</v>
      </c>
      <c r="L18" s="809"/>
      <c r="M18" s="809"/>
      <c r="N18" s="809"/>
      <c r="O18" s="809"/>
      <c r="P18" s="809"/>
      <c r="Q18" s="5"/>
      <c r="R18" s="5"/>
      <c r="S18" s="5"/>
      <c r="T18" s="5"/>
      <c r="U18" s="5"/>
      <c r="V18" s="5"/>
      <c r="W18" s="5"/>
      <c r="X18" s="5"/>
      <c r="Y18" s="5"/>
    </row>
    <row r="19" spans="1:25" ht="12.75" customHeight="1" x14ac:dyDescent="0.2">
      <c r="A19" s="5" t="s">
        <v>1982</v>
      </c>
      <c r="B19" s="216">
        <v>1</v>
      </c>
      <c r="C19" s="1053" t="s">
        <v>1983</v>
      </c>
      <c r="D19" s="809"/>
      <c r="E19" s="809"/>
      <c r="F19" s="809"/>
      <c r="G19" s="809"/>
      <c r="H19" s="809"/>
      <c r="I19" s="5" t="s">
        <v>1982</v>
      </c>
      <c r="J19" s="635">
        <f t="shared" si="0"/>
        <v>1</v>
      </c>
      <c r="K19" s="1053" t="s">
        <v>1983</v>
      </c>
      <c r="L19" s="809"/>
      <c r="M19" s="809"/>
      <c r="N19" s="809"/>
      <c r="O19" s="809"/>
      <c r="P19" s="809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0.25" customHeight="1" x14ac:dyDescent="0.3">
      <c r="A22" s="63" t="s">
        <v>1984</v>
      </c>
      <c r="B22" s="5"/>
      <c r="C22" s="5"/>
      <c r="D22" s="5"/>
      <c r="E22" s="5"/>
      <c r="F22" s="5"/>
      <c r="G22" s="5"/>
      <c r="H22" s="5"/>
      <c r="I22" s="63" t="s">
        <v>1984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.75" customHeight="1" x14ac:dyDescent="0.2">
      <c r="A24" s="82" t="s">
        <v>1985</v>
      </c>
      <c r="B24" s="682">
        <f>'Main Dimensions Calcs'!H19/1000</f>
        <v>3.75</v>
      </c>
      <c r="C24" s="1053" t="s">
        <v>1986</v>
      </c>
      <c r="D24" s="809"/>
      <c r="E24" s="809"/>
      <c r="F24" s="809"/>
      <c r="G24" s="809"/>
      <c r="H24" s="809"/>
      <c r="I24" s="82" t="s">
        <v>1985</v>
      </c>
      <c r="J24" s="683">
        <f>B24*1000/25.4</f>
        <v>147.63779527559055</v>
      </c>
      <c r="K24" s="1059" t="s">
        <v>1987</v>
      </c>
      <c r="L24" s="809"/>
      <c r="M24" s="809"/>
      <c r="N24" s="809"/>
      <c r="O24" s="809"/>
      <c r="P24" s="809"/>
      <c r="Q24" s="5"/>
      <c r="R24" s="5"/>
      <c r="S24" s="5"/>
      <c r="T24" s="5"/>
      <c r="U24" s="5"/>
      <c r="V24" s="5"/>
      <c r="W24" s="5"/>
      <c r="X24" s="5"/>
      <c r="Y24" s="5"/>
    </row>
    <row r="25" spans="1:25" ht="12.75" customHeight="1" x14ac:dyDescent="0.2">
      <c r="A25" s="82" t="s">
        <v>1988</v>
      </c>
      <c r="B25" s="682">
        <f>'Main Dimensions Calcs'!D60/1000+B37</f>
        <v>6.5088166926487503</v>
      </c>
      <c r="C25" s="1053" t="s">
        <v>1989</v>
      </c>
      <c r="D25" s="809"/>
      <c r="E25" s="809"/>
      <c r="F25" s="809"/>
      <c r="G25" s="809"/>
      <c r="H25" s="809"/>
      <c r="I25" s="82" t="s">
        <v>1988</v>
      </c>
      <c r="J25" s="683">
        <f>B25*1000/25.4</f>
        <v>256.25262569483272</v>
      </c>
      <c r="K25" s="1059" t="s">
        <v>1990</v>
      </c>
      <c r="L25" s="809"/>
      <c r="M25" s="809"/>
      <c r="N25" s="809"/>
      <c r="O25" s="809"/>
      <c r="P25" s="809"/>
      <c r="Q25" s="5"/>
      <c r="R25" s="5"/>
      <c r="S25" s="5"/>
      <c r="T25" s="5"/>
      <c r="U25" s="5"/>
      <c r="V25" s="5"/>
      <c r="W25" s="5"/>
      <c r="X25" s="5"/>
      <c r="Y25" s="5"/>
    </row>
    <row r="26" spans="1:25" ht="28.5" customHeight="1" x14ac:dyDescent="0.2">
      <c r="A26" s="82" t="s">
        <v>1991</v>
      </c>
      <c r="B26" s="682">
        <v>206.8</v>
      </c>
      <c r="C26" s="932" t="s">
        <v>1992</v>
      </c>
      <c r="D26" s="809"/>
      <c r="E26" s="809"/>
      <c r="F26" s="809"/>
      <c r="G26" s="809"/>
      <c r="H26" s="809"/>
      <c r="I26" s="82" t="s">
        <v>1991</v>
      </c>
      <c r="J26" s="683">
        <v>206.8</v>
      </c>
      <c r="K26" s="932" t="s">
        <v>1992</v>
      </c>
      <c r="L26" s="809"/>
      <c r="M26" s="809"/>
      <c r="N26" s="809"/>
      <c r="O26" s="809"/>
      <c r="P26" s="809"/>
      <c r="Q26" s="5"/>
      <c r="R26" s="5"/>
      <c r="S26" s="5"/>
      <c r="T26" s="5"/>
      <c r="U26" s="5"/>
      <c r="V26" s="5"/>
      <c r="W26" s="5"/>
      <c r="X26" s="5"/>
      <c r="Y26" s="5"/>
    </row>
    <row r="27" spans="1:25" ht="36.75" customHeight="1" x14ac:dyDescent="0.2">
      <c r="A27" s="82" t="s">
        <v>1993</v>
      </c>
      <c r="B27" s="684">
        <v>8</v>
      </c>
      <c r="C27" s="982" t="s">
        <v>1994</v>
      </c>
      <c r="D27" s="809"/>
      <c r="E27" s="809"/>
      <c r="F27" s="809"/>
      <c r="G27" s="809"/>
      <c r="H27" s="809"/>
      <c r="I27" s="82" t="s">
        <v>1993</v>
      </c>
      <c r="J27" s="683">
        <f>B27/25.4</f>
        <v>0.31496062992125984</v>
      </c>
      <c r="K27" s="901" t="s">
        <v>1995</v>
      </c>
      <c r="L27" s="809"/>
      <c r="M27" s="809"/>
      <c r="N27" s="809"/>
      <c r="O27" s="809"/>
      <c r="P27" s="809"/>
      <c r="Q27" s="5"/>
      <c r="R27" s="5"/>
      <c r="S27" s="5"/>
      <c r="T27" s="5"/>
      <c r="U27" s="5"/>
      <c r="V27" s="5"/>
      <c r="W27" s="5"/>
      <c r="X27" s="5"/>
      <c r="Y27" s="5"/>
    </row>
    <row r="28" spans="1:25" ht="27" customHeight="1" x14ac:dyDescent="0.2">
      <c r="A28" s="82" t="s">
        <v>1996</v>
      </c>
      <c r="B28" s="685">
        <f>'Loads on slab'!H34*9.8/(PI()*B36)</f>
        <v>77.25</v>
      </c>
      <c r="C28" s="982" t="s">
        <v>1997</v>
      </c>
      <c r="D28" s="809"/>
      <c r="E28" s="809"/>
      <c r="F28" s="809"/>
      <c r="G28" s="809"/>
      <c r="H28" s="809"/>
      <c r="I28" s="82" t="s">
        <v>1996</v>
      </c>
      <c r="J28" s="683">
        <f>B28</f>
        <v>77.25</v>
      </c>
      <c r="K28" s="982" t="s">
        <v>1997</v>
      </c>
      <c r="L28" s="809"/>
      <c r="M28" s="809"/>
      <c r="N28" s="809"/>
      <c r="O28" s="809"/>
      <c r="P28" s="809"/>
      <c r="Q28" s="5"/>
      <c r="R28" s="5"/>
      <c r="S28" s="5"/>
      <c r="T28" s="5"/>
      <c r="U28" s="5"/>
      <c r="V28" s="5"/>
      <c r="W28" s="5"/>
      <c r="X28" s="5"/>
      <c r="Y28" s="5"/>
    </row>
    <row r="29" spans="1:25" ht="26.25" customHeight="1" x14ac:dyDescent="0.2">
      <c r="A29" s="82" t="s">
        <v>1998</v>
      </c>
      <c r="B29" s="682">
        <f>'Weight Calculations'!H71*9.8/(B36*PI())</f>
        <v>5676.1051705299096</v>
      </c>
      <c r="C29" s="1053" t="s">
        <v>1999</v>
      </c>
      <c r="D29" s="809"/>
      <c r="E29" s="809"/>
      <c r="F29" s="809"/>
      <c r="G29" s="809"/>
      <c r="H29" s="809"/>
      <c r="I29" s="82" t="s">
        <v>1998</v>
      </c>
      <c r="J29" s="683">
        <f>B29</f>
        <v>5676.1051705299096</v>
      </c>
      <c r="K29" s="1053" t="s">
        <v>1999</v>
      </c>
      <c r="L29" s="809"/>
      <c r="M29" s="809"/>
      <c r="N29" s="809"/>
      <c r="O29" s="809"/>
      <c r="P29" s="809"/>
      <c r="Q29" s="5"/>
      <c r="R29" s="5"/>
      <c r="S29" s="5"/>
      <c r="T29" s="5"/>
      <c r="U29" s="5"/>
      <c r="V29" s="5"/>
      <c r="W29" s="5"/>
      <c r="X29" s="5"/>
      <c r="Y29" s="5"/>
    </row>
    <row r="30" spans="1:25" ht="12.75" customHeight="1" x14ac:dyDescent="0.2">
      <c r="A30" s="82" t="s">
        <v>1712</v>
      </c>
      <c r="B30" s="685">
        <f>'Main Dimensions Calcs'!H7</f>
        <v>8</v>
      </c>
      <c r="C30" s="1053" t="s">
        <v>2000</v>
      </c>
      <c r="D30" s="809"/>
      <c r="E30" s="809"/>
      <c r="F30" s="809"/>
      <c r="G30" s="809"/>
      <c r="H30" s="809"/>
      <c r="I30" s="82" t="s">
        <v>1712</v>
      </c>
      <c r="J30" s="683">
        <f>B30/25.4</f>
        <v>0.31496062992125984</v>
      </c>
      <c r="K30" s="1059" t="s">
        <v>2001</v>
      </c>
      <c r="L30" s="809"/>
      <c r="M30" s="809"/>
      <c r="N30" s="809"/>
      <c r="O30" s="809"/>
      <c r="P30" s="809"/>
      <c r="Q30" s="5"/>
      <c r="R30" s="5"/>
      <c r="S30" s="5"/>
      <c r="T30" s="5"/>
      <c r="U30" s="5"/>
      <c r="V30" s="5"/>
      <c r="W30" s="5"/>
      <c r="X30" s="5"/>
      <c r="Y30" s="5"/>
    </row>
    <row r="31" spans="1:25" ht="12.75" customHeight="1" x14ac:dyDescent="0.2">
      <c r="A31" s="82" t="s">
        <v>2002</v>
      </c>
      <c r="B31" s="685">
        <f>'Design Conditions'!G33/1000</f>
        <v>0.80800000000000005</v>
      </c>
      <c r="C31" s="1053" t="s">
        <v>2003</v>
      </c>
      <c r="D31" s="809"/>
      <c r="E31" s="809"/>
      <c r="F31" s="809"/>
      <c r="G31" s="809"/>
      <c r="H31" s="809"/>
      <c r="I31" s="82" t="s">
        <v>2002</v>
      </c>
      <c r="J31" s="683">
        <f>B31</f>
        <v>0.80800000000000005</v>
      </c>
      <c r="K31" s="1053" t="s">
        <v>2003</v>
      </c>
      <c r="L31" s="809"/>
      <c r="M31" s="809"/>
      <c r="N31" s="809"/>
      <c r="O31" s="809"/>
      <c r="P31" s="809"/>
      <c r="Q31" s="5"/>
      <c r="R31" s="5"/>
      <c r="S31" s="5"/>
      <c r="T31" s="5"/>
      <c r="U31" s="5"/>
      <c r="V31" s="5"/>
      <c r="W31" s="5"/>
      <c r="X31" s="5"/>
      <c r="Y31" s="5"/>
    </row>
    <row r="32" spans="1:25" ht="27" customHeight="1" x14ac:dyDescent="0.2">
      <c r="A32" s="82" t="s">
        <v>1150</v>
      </c>
      <c r="B32" s="682">
        <f>'Weight Calculations'!H70*9.8</f>
        <v>370914.75827718701</v>
      </c>
      <c r="C32" s="1055" t="s">
        <v>2004</v>
      </c>
      <c r="D32" s="809"/>
      <c r="E32" s="809"/>
      <c r="F32" s="809"/>
      <c r="G32" s="809"/>
      <c r="H32" s="809"/>
      <c r="I32" s="82" t="s">
        <v>1150</v>
      </c>
      <c r="J32" s="683">
        <f>B32*0.225</f>
        <v>83455.820612367083</v>
      </c>
      <c r="K32" s="1059" t="s">
        <v>2005</v>
      </c>
      <c r="L32" s="809"/>
      <c r="M32" s="809"/>
      <c r="N32" s="809"/>
      <c r="O32" s="809"/>
      <c r="P32" s="809"/>
      <c r="Q32" s="5"/>
      <c r="R32" s="5"/>
      <c r="S32" s="5"/>
      <c r="T32" s="5"/>
      <c r="U32" s="5"/>
      <c r="V32" s="5"/>
      <c r="W32" s="5"/>
      <c r="X32" s="5"/>
      <c r="Y32" s="5"/>
    </row>
    <row r="33" spans="1:25" ht="25.5" customHeight="1" x14ac:dyDescent="0.2">
      <c r="A33" s="82" t="s">
        <v>2006</v>
      </c>
      <c r="B33" s="682">
        <f>'Weight Calculations'!H71*9.8</f>
        <v>367339.41227764002</v>
      </c>
      <c r="C33" s="1053" t="s">
        <v>2007</v>
      </c>
      <c r="D33" s="809"/>
      <c r="E33" s="809"/>
      <c r="F33" s="809"/>
      <c r="G33" s="809"/>
      <c r="H33" s="809"/>
      <c r="I33" s="82" t="s">
        <v>2006</v>
      </c>
      <c r="J33" s="683">
        <f>B33*0.225</f>
        <v>82651.367762469003</v>
      </c>
      <c r="K33" s="1059" t="s">
        <v>2008</v>
      </c>
      <c r="L33" s="809"/>
      <c r="M33" s="809"/>
      <c r="N33" s="809"/>
      <c r="O33" s="809"/>
      <c r="P33" s="809"/>
      <c r="Q33" s="5"/>
      <c r="R33" s="266" t="s">
        <v>2009</v>
      </c>
      <c r="S33" s="5"/>
      <c r="T33" s="5"/>
      <c r="U33" s="5"/>
      <c r="V33" s="5"/>
      <c r="W33" s="5"/>
      <c r="X33" s="5"/>
      <c r="Y33" s="5"/>
    </row>
    <row r="34" spans="1:25" ht="12.75" customHeight="1" x14ac:dyDescent="0.2">
      <c r="A34" s="82" t="s">
        <v>2010</v>
      </c>
      <c r="B34" s="682">
        <f>'Weight Calculations'!H72*9.8</f>
        <v>144827.17402431578</v>
      </c>
      <c r="C34" s="1053" t="s">
        <v>2011</v>
      </c>
      <c r="D34" s="809"/>
      <c r="E34" s="809"/>
      <c r="F34" s="809"/>
      <c r="G34" s="809"/>
      <c r="H34" s="809"/>
      <c r="I34" s="82" t="s">
        <v>2010</v>
      </c>
      <c r="J34" s="683">
        <f>B34*0.225</f>
        <v>32586.114155471052</v>
      </c>
      <c r="K34" s="1059" t="s">
        <v>2012</v>
      </c>
      <c r="L34" s="809"/>
      <c r="M34" s="809"/>
      <c r="N34" s="809"/>
      <c r="O34" s="809"/>
      <c r="P34" s="809"/>
      <c r="Q34" s="5"/>
      <c r="R34" s="5"/>
      <c r="S34" s="5"/>
      <c r="T34" s="5"/>
      <c r="U34" s="5"/>
      <c r="V34" s="5"/>
      <c r="W34" s="5"/>
      <c r="X34" s="5"/>
      <c r="Y34" s="5"/>
    </row>
    <row r="35" spans="1:25" ht="12.75" customHeight="1" x14ac:dyDescent="0.2">
      <c r="A35" s="82" t="s">
        <v>213</v>
      </c>
      <c r="B35" s="682">
        <f>'Main Dimensions Calcs'!D51*PI()*('Main Dimensions Calcs'!D53/2000)^2*'Main Dimensions Calcs'!D11*9.8/1000</f>
        <v>11480241.274975793</v>
      </c>
      <c r="C35" s="1053" t="s">
        <v>2013</v>
      </c>
      <c r="D35" s="809"/>
      <c r="E35" s="809"/>
      <c r="F35" s="809"/>
      <c r="G35" s="809"/>
      <c r="H35" s="809"/>
      <c r="I35" s="82" t="s">
        <v>213</v>
      </c>
      <c r="J35" s="683">
        <f>B35*0.225</f>
        <v>2583054.2868695534</v>
      </c>
      <c r="K35" s="1059" t="s">
        <v>2014</v>
      </c>
      <c r="L35" s="809"/>
      <c r="M35" s="809"/>
      <c r="N35" s="809"/>
      <c r="O35" s="809"/>
      <c r="P35" s="809"/>
      <c r="Q35" s="5"/>
      <c r="R35" s="5"/>
      <c r="S35" s="5"/>
      <c r="T35" s="5"/>
      <c r="U35" s="5"/>
      <c r="V35" s="5"/>
      <c r="W35" s="5"/>
      <c r="X35" s="5"/>
      <c r="Y35" s="5"/>
    </row>
    <row r="36" spans="1:25" ht="12.75" customHeight="1" x14ac:dyDescent="0.2">
      <c r="A36" s="82" t="s">
        <v>196</v>
      </c>
      <c r="B36" s="682">
        <f>'Main Dimensions Calcs'!D53/1000</f>
        <v>20.6</v>
      </c>
      <c r="C36" s="1053" t="s">
        <v>2015</v>
      </c>
      <c r="D36" s="809"/>
      <c r="E36" s="809"/>
      <c r="F36" s="809"/>
      <c r="G36" s="809"/>
      <c r="H36" s="809"/>
      <c r="I36" s="82" t="s">
        <v>196</v>
      </c>
      <c r="J36" s="683">
        <f>B36/25.4*1000</f>
        <v>811.0236220472442</v>
      </c>
      <c r="K36" s="1059" t="s">
        <v>2016</v>
      </c>
      <c r="L36" s="809"/>
      <c r="M36" s="809"/>
      <c r="N36" s="809"/>
      <c r="O36" s="809"/>
      <c r="P36" s="809"/>
      <c r="Q36" s="5"/>
      <c r="R36" s="5"/>
      <c r="S36" s="5"/>
      <c r="T36" s="5"/>
      <c r="U36" s="5"/>
      <c r="V36" s="5"/>
      <c r="W36" s="5"/>
      <c r="X36" s="5"/>
      <c r="Y36" s="5"/>
    </row>
    <row r="37" spans="1:25" ht="12.75" customHeight="1" x14ac:dyDescent="0.2">
      <c r="A37" s="82" t="s">
        <v>911</v>
      </c>
      <c r="B37" s="682">
        <f>'Main Dimensions Calcs'!D51/1000</f>
        <v>4.3499999999999996</v>
      </c>
      <c r="C37" s="1053" t="s">
        <v>2017</v>
      </c>
      <c r="D37" s="809"/>
      <c r="E37" s="809"/>
      <c r="F37" s="809"/>
      <c r="G37" s="809"/>
      <c r="H37" s="809"/>
      <c r="I37" s="82" t="s">
        <v>911</v>
      </c>
      <c r="J37" s="683">
        <f>B37/25.4*1000</f>
        <v>171.25984251968504</v>
      </c>
      <c r="K37" s="1059" t="s">
        <v>2018</v>
      </c>
      <c r="L37" s="809"/>
      <c r="M37" s="809"/>
      <c r="N37" s="809"/>
      <c r="O37" s="809"/>
      <c r="P37" s="809"/>
      <c r="Q37" s="5"/>
      <c r="R37" s="5"/>
      <c r="S37" s="5"/>
      <c r="T37" s="5"/>
      <c r="U37" s="5"/>
      <c r="V37" s="5"/>
      <c r="W37" s="5"/>
      <c r="X37" s="5"/>
      <c r="Y37" s="5"/>
    </row>
    <row r="38" spans="1:25" ht="12.75" customHeight="1" x14ac:dyDescent="0.2">
      <c r="A38" s="82" t="s">
        <v>2019</v>
      </c>
      <c r="B38" s="682">
        <f>'Thermal calculation 2'!K79*9.8</f>
        <v>771655.50436793827</v>
      </c>
      <c r="C38" s="1053" t="s">
        <v>2020</v>
      </c>
      <c r="D38" s="809"/>
      <c r="E38" s="809"/>
      <c r="F38" s="809"/>
      <c r="G38" s="809"/>
      <c r="H38" s="809"/>
      <c r="I38" s="82" t="s">
        <v>2019</v>
      </c>
      <c r="J38" s="683">
        <f>B38*0.225</f>
        <v>173622.48848278611</v>
      </c>
      <c r="K38" s="1059" t="s">
        <v>2021</v>
      </c>
      <c r="L38" s="809"/>
      <c r="M38" s="809"/>
      <c r="N38" s="809"/>
      <c r="O38" s="809"/>
      <c r="P38" s="809"/>
      <c r="Q38" s="5"/>
      <c r="R38" s="5"/>
      <c r="S38" s="5"/>
      <c r="T38" s="5"/>
      <c r="U38" s="5"/>
      <c r="V38" s="5"/>
      <c r="W38" s="5"/>
      <c r="X38" s="5"/>
      <c r="Y38" s="5"/>
    </row>
    <row r="39" spans="1:25" ht="15.75" customHeight="1" x14ac:dyDescent="0.2">
      <c r="A39" s="82" t="s">
        <v>2022</v>
      </c>
      <c r="B39" s="685">
        <f>'Thermal calculation 2'!K82*9.8</f>
        <v>417493.01233851269</v>
      </c>
      <c r="C39" s="1053" t="s">
        <v>2023</v>
      </c>
      <c r="D39" s="809"/>
      <c r="E39" s="809"/>
      <c r="F39" s="809"/>
      <c r="G39" s="809"/>
      <c r="H39" s="809"/>
      <c r="I39" s="82" t="s">
        <v>2022</v>
      </c>
      <c r="J39" s="683">
        <f>B39*0.225</f>
        <v>93935.927776165365</v>
      </c>
      <c r="K39" s="1059" t="s">
        <v>2024</v>
      </c>
      <c r="L39" s="809"/>
      <c r="M39" s="809"/>
      <c r="N39" s="809"/>
      <c r="O39" s="809"/>
      <c r="P39" s="809"/>
      <c r="Q39" s="5"/>
      <c r="R39" s="5"/>
      <c r="S39" s="5"/>
      <c r="T39" s="5"/>
      <c r="U39" s="5"/>
      <c r="V39" s="5"/>
      <c r="W39" s="5"/>
      <c r="X39" s="5"/>
      <c r="Y39" s="5"/>
    </row>
    <row r="40" spans="1:25" ht="12.75" customHeight="1" x14ac:dyDescent="0.2">
      <c r="A40" s="82"/>
      <c r="B40" s="82"/>
      <c r="C40" s="5"/>
      <c r="D40" s="5"/>
      <c r="E40" s="5"/>
      <c r="F40" s="5"/>
      <c r="G40" s="5"/>
      <c r="H40" s="5"/>
      <c r="I40" s="82"/>
      <c r="J40" s="8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.5" customHeight="1" thickBot="1" x14ac:dyDescent="0.25">
      <c r="A41" s="82"/>
      <c r="B41" s="82"/>
      <c r="C41" s="5"/>
      <c r="D41" s="5"/>
      <c r="E41" s="5"/>
      <c r="F41" s="5"/>
      <c r="G41" s="5"/>
      <c r="H41" s="5"/>
      <c r="I41" s="82"/>
      <c r="J41" s="8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7.25" customHeight="1" thickTop="1" thickBot="1" x14ac:dyDescent="0.3">
      <c r="A42" s="28"/>
      <c r="B42" s="4"/>
      <c r="C42" s="408"/>
      <c r="D42" s="934" t="str">
        <f>'Front Page'!$A$13</f>
        <v>Mechanical  Calculations</v>
      </c>
      <c r="E42" s="842"/>
      <c r="F42" s="842"/>
      <c r="G42" s="842"/>
      <c r="H42" s="859"/>
      <c r="I42" s="28"/>
      <c r="J42" s="4"/>
      <c r="K42" s="408"/>
      <c r="L42" s="934" t="str">
        <f>'Front Page'!$A$13</f>
        <v>Mechanical  Calculations</v>
      </c>
      <c r="M42" s="842"/>
      <c r="N42" s="842"/>
      <c r="O42" s="842"/>
      <c r="P42" s="859"/>
      <c r="Q42" s="5"/>
      <c r="R42" s="5"/>
      <c r="S42" s="5"/>
      <c r="T42" s="5"/>
      <c r="U42" s="5"/>
      <c r="V42" s="5"/>
      <c r="W42" s="5"/>
      <c r="X42" s="5"/>
      <c r="Y42" s="5"/>
    </row>
    <row r="43" spans="1:25" ht="16.5" customHeight="1" thickBot="1" x14ac:dyDescent="0.3">
      <c r="A43" s="6"/>
      <c r="B43" s="5"/>
      <c r="C43" s="14"/>
      <c r="D43" s="984"/>
      <c r="E43" s="831"/>
      <c r="F43" s="831"/>
      <c r="G43" s="831"/>
      <c r="H43" s="854"/>
      <c r="I43" s="6"/>
      <c r="J43" s="5"/>
      <c r="K43" s="14"/>
      <c r="L43" s="984"/>
      <c r="M43" s="831"/>
      <c r="N43" s="831"/>
      <c r="O43" s="831"/>
      <c r="P43" s="854"/>
      <c r="Q43" s="5"/>
      <c r="R43" s="5"/>
      <c r="S43" s="5"/>
      <c r="T43" s="5"/>
      <c r="U43" s="5"/>
      <c r="V43" s="5"/>
      <c r="W43" s="5"/>
      <c r="X43" s="5"/>
      <c r="Y43" s="5"/>
    </row>
    <row r="44" spans="1:25" ht="16.5" customHeight="1" thickBot="1" x14ac:dyDescent="0.3">
      <c r="A44" s="8"/>
      <c r="B44" s="9"/>
      <c r="C44" s="409"/>
      <c r="D44" s="985" t="s">
        <v>1954</v>
      </c>
      <c r="E44" s="834"/>
      <c r="F44" s="834"/>
      <c r="G44" s="834"/>
      <c r="H44" s="986"/>
      <c r="I44" s="8"/>
      <c r="J44" s="9"/>
      <c r="K44" s="409"/>
      <c r="L44" s="985" t="s">
        <v>1954</v>
      </c>
      <c r="M44" s="834"/>
      <c r="N44" s="834"/>
      <c r="O44" s="834"/>
      <c r="P44" s="986"/>
      <c r="Q44" s="5"/>
      <c r="R44" s="5"/>
      <c r="S44" s="5"/>
      <c r="T44" s="5"/>
      <c r="U44" s="5"/>
      <c r="V44" s="5"/>
      <c r="W44" s="5"/>
      <c r="X44" s="5"/>
      <c r="Y44" s="5"/>
    </row>
    <row r="45" spans="1:25" ht="16.5" customHeight="1" thickTop="1" thickBot="1" x14ac:dyDescent="0.3">
      <c r="A45" s="873"/>
      <c r="B45" s="848"/>
      <c r="C45" s="865"/>
      <c r="D45" s="385" t="str">
        <f>'Front Page'!$D$4</f>
        <v>Doc Nº</v>
      </c>
      <c r="E45" s="980"/>
      <c r="F45" s="843"/>
      <c r="G45" s="980"/>
      <c r="H45" s="843"/>
      <c r="I45" s="873">
        <f>'Front Page'!$A$4</f>
        <v>0</v>
      </c>
      <c r="J45" s="848"/>
      <c r="K45" s="865"/>
      <c r="L45" s="385" t="str">
        <f>'Front Page'!$D$4</f>
        <v>Doc Nº</v>
      </c>
      <c r="M45" s="980"/>
      <c r="N45" s="843"/>
      <c r="O45" s="1067"/>
      <c r="P45" s="843"/>
      <c r="Q45" s="5"/>
      <c r="R45" s="5"/>
      <c r="S45" s="5"/>
      <c r="T45" s="5"/>
      <c r="U45" s="5"/>
      <c r="V45" s="5"/>
      <c r="W45" s="5"/>
      <c r="X45" s="5"/>
      <c r="Y45" s="5"/>
    </row>
    <row r="46" spans="1:25" ht="15.75" customHeight="1" thickBot="1" x14ac:dyDescent="0.3">
      <c r="A46" s="860"/>
      <c r="B46" s="851"/>
      <c r="C46" s="861"/>
      <c r="D46" s="386" t="str">
        <f>'Front Page'!$D$5</f>
        <v>Project</v>
      </c>
      <c r="E46" s="899"/>
      <c r="F46" s="835"/>
      <c r="G46" s="131" t="s">
        <v>5</v>
      </c>
      <c r="H46" s="132"/>
      <c r="I46" s="860">
        <f>'Front Page'!$A$5</f>
        <v>0</v>
      </c>
      <c r="J46" s="851"/>
      <c r="K46" s="861"/>
      <c r="L46" s="386" t="str">
        <f>'Front Page'!$D$5</f>
        <v>Project</v>
      </c>
      <c r="M46" s="899"/>
      <c r="N46" s="835"/>
      <c r="O46" s="131" t="s">
        <v>5</v>
      </c>
      <c r="P46" s="427"/>
      <c r="Q46" s="5"/>
      <c r="R46" s="5"/>
      <c r="S46" s="5"/>
      <c r="T46" s="5"/>
      <c r="U46" s="5"/>
      <c r="V46" s="5"/>
      <c r="W46" s="5"/>
      <c r="X46" s="5"/>
      <c r="Y46" s="5"/>
    </row>
    <row r="47" spans="1:25" ht="13.5" customHeight="1" thickTop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2.75" customHeight="1" x14ac:dyDescent="0.2">
      <c r="A48" s="5" t="s">
        <v>2025</v>
      </c>
      <c r="B48" s="265">
        <f>B31*(1-0.4*B9)</f>
        <v>0.58014399999999999</v>
      </c>
      <c r="C48" s="982" t="s">
        <v>2026</v>
      </c>
      <c r="D48" s="809"/>
      <c r="E48" s="809"/>
      <c r="F48" s="809"/>
      <c r="G48" s="809"/>
      <c r="H48" s="809"/>
      <c r="I48" s="5" t="s">
        <v>2025</v>
      </c>
      <c r="J48" s="265">
        <f>J31*(1-0.4*J9)</f>
        <v>0.58014399999999999</v>
      </c>
      <c r="K48" s="982" t="s">
        <v>2026</v>
      </c>
      <c r="L48" s="809"/>
      <c r="M48" s="809"/>
      <c r="N48" s="809"/>
      <c r="O48" s="809"/>
      <c r="P48" s="809"/>
      <c r="Q48" s="5"/>
      <c r="R48" s="5"/>
      <c r="S48" s="5"/>
      <c r="T48" s="5"/>
      <c r="U48" s="5"/>
      <c r="V48" s="5"/>
      <c r="W48" s="5"/>
      <c r="X48" s="5"/>
      <c r="Y48" s="5"/>
    </row>
    <row r="49" spans="1:25" x14ac:dyDescent="0.2">
      <c r="A49" s="5"/>
      <c r="B49" s="265"/>
      <c r="C49" s="809"/>
      <c r="D49" s="809"/>
      <c r="E49" s="809"/>
      <c r="F49" s="809"/>
      <c r="G49" s="809"/>
      <c r="H49" s="809"/>
      <c r="I49" s="5"/>
      <c r="J49" s="265"/>
      <c r="K49" s="809"/>
      <c r="L49" s="809"/>
      <c r="M49" s="809"/>
      <c r="N49" s="809"/>
      <c r="O49" s="809"/>
      <c r="P49" s="809"/>
      <c r="Q49" s="5"/>
      <c r="R49" s="5"/>
      <c r="S49" s="5"/>
      <c r="T49" s="5"/>
      <c r="U49" s="5"/>
      <c r="V49" s="5"/>
      <c r="W49" s="5"/>
      <c r="X49" s="5"/>
      <c r="Y49" s="5"/>
    </row>
    <row r="50" spans="1:25" ht="27" customHeight="1" x14ac:dyDescent="0.2">
      <c r="A50" s="82" t="s">
        <v>2027</v>
      </c>
      <c r="B50" s="686">
        <f>B32/(PI()*B36)+B29+B39/(PI()*B36)</f>
        <v>17858.531759418234</v>
      </c>
      <c r="C50" s="982" t="s">
        <v>2028</v>
      </c>
      <c r="D50" s="809"/>
      <c r="E50" s="809"/>
      <c r="F50" s="809"/>
      <c r="G50" s="809"/>
      <c r="H50" s="809"/>
      <c r="I50" s="82" t="s">
        <v>2027</v>
      </c>
      <c r="J50" s="686">
        <f>B50</f>
        <v>17858.531759418234</v>
      </c>
      <c r="K50" s="982" t="s">
        <v>2028</v>
      </c>
      <c r="L50" s="809"/>
      <c r="M50" s="809"/>
      <c r="N50" s="809"/>
      <c r="O50" s="809"/>
      <c r="P50" s="809"/>
      <c r="Q50" s="5"/>
      <c r="R50" s="5"/>
      <c r="S50" s="5"/>
      <c r="T50" s="5"/>
      <c r="U50" s="5"/>
      <c r="V50" s="5"/>
      <c r="W50" s="5"/>
      <c r="X50" s="5"/>
      <c r="Y50" s="5"/>
    </row>
    <row r="51" spans="1:25" ht="40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5" t="s">
        <v>1070</v>
      </c>
      <c r="B52" s="216">
        <v>0.38</v>
      </c>
      <c r="C52" s="5" t="s">
        <v>2029</v>
      </c>
      <c r="D52" s="5"/>
      <c r="E52" s="5"/>
      <c r="F52" s="5"/>
      <c r="G52" s="5"/>
      <c r="H52" s="5"/>
      <c r="I52" s="5" t="s">
        <v>1070</v>
      </c>
      <c r="J52" s="216">
        <v>0.38</v>
      </c>
      <c r="K52" s="5" t="s">
        <v>2029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7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40.5" customHeight="1" x14ac:dyDescent="0.3">
      <c r="A54" s="1063" t="s">
        <v>2030</v>
      </c>
      <c r="B54" s="809"/>
      <c r="C54" s="809"/>
      <c r="D54" s="809"/>
      <c r="E54" s="809"/>
      <c r="F54" s="809"/>
      <c r="G54" s="809"/>
      <c r="H54" s="809"/>
      <c r="I54" s="1063" t="s">
        <v>2030</v>
      </c>
      <c r="J54" s="809"/>
      <c r="K54" s="809"/>
      <c r="L54" s="809"/>
      <c r="M54" s="809"/>
      <c r="N54" s="809"/>
      <c r="O54" s="809"/>
      <c r="P54" s="809"/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x14ac:dyDescent="0.2">
      <c r="A56" s="82" t="s">
        <v>2031</v>
      </c>
      <c r="B56" s="687">
        <f>R12/B16*B15</f>
        <v>2.25</v>
      </c>
      <c r="C56" s="901" t="s">
        <v>2032</v>
      </c>
      <c r="D56" s="809"/>
      <c r="E56" s="809"/>
      <c r="F56" s="809"/>
      <c r="G56" s="809"/>
      <c r="H56" s="809"/>
      <c r="I56" s="82" t="s">
        <v>2031</v>
      </c>
      <c r="J56" s="686">
        <f t="shared" ref="J56:J63" si="1">B56</f>
        <v>2.25</v>
      </c>
      <c r="K56" s="1054" t="s">
        <v>2033</v>
      </c>
      <c r="L56" s="809"/>
      <c r="M56" s="809"/>
      <c r="N56" s="809"/>
      <c r="O56" s="809"/>
      <c r="P56" s="809"/>
      <c r="Q56" s="5"/>
      <c r="R56" s="5"/>
      <c r="S56" s="5"/>
      <c r="T56" s="5"/>
      <c r="U56" s="5"/>
      <c r="V56" s="5"/>
      <c r="W56" s="5"/>
      <c r="X56" s="5"/>
      <c r="Y56" s="5"/>
    </row>
    <row r="57" spans="1:25" ht="15.75" customHeight="1" x14ac:dyDescent="0.2">
      <c r="A57" s="82" t="s">
        <v>1349</v>
      </c>
      <c r="B57" s="687">
        <v>0.13900000000000001</v>
      </c>
      <c r="C57" s="901" t="s">
        <v>2034</v>
      </c>
      <c r="D57" s="809"/>
      <c r="E57" s="809"/>
      <c r="F57" s="809"/>
      <c r="G57" s="809"/>
      <c r="H57" s="809"/>
      <c r="I57" s="82" t="s">
        <v>1349</v>
      </c>
      <c r="J57" s="686">
        <f t="shared" si="1"/>
        <v>0.13900000000000001</v>
      </c>
      <c r="K57" s="1054" t="s">
        <v>2035</v>
      </c>
      <c r="L57" s="809"/>
      <c r="M57" s="809"/>
      <c r="N57" s="809"/>
      <c r="O57" s="809"/>
      <c r="P57" s="809"/>
      <c r="Q57" s="5"/>
      <c r="R57" s="5"/>
      <c r="S57" s="5"/>
      <c r="T57" s="5"/>
      <c r="U57" s="5"/>
      <c r="V57" s="5"/>
      <c r="W57" s="5"/>
      <c r="X57" s="5"/>
      <c r="Y57" s="5"/>
    </row>
    <row r="58" spans="1:25" ht="12.75" customHeight="1" x14ac:dyDescent="0.2">
      <c r="A58" s="82" t="s">
        <v>2036</v>
      </c>
      <c r="B58" s="687">
        <f>B57</f>
        <v>0.13900000000000001</v>
      </c>
      <c r="C58" s="1054" t="s">
        <v>2037</v>
      </c>
      <c r="D58" s="809"/>
      <c r="E58" s="809"/>
      <c r="F58" s="809"/>
      <c r="G58" s="809"/>
      <c r="H58" s="809"/>
      <c r="I58" s="82" t="s">
        <v>2036</v>
      </c>
      <c r="J58" s="686">
        <f t="shared" si="1"/>
        <v>0.13900000000000001</v>
      </c>
      <c r="K58" s="1054" t="s">
        <v>2037</v>
      </c>
      <c r="L58" s="809"/>
      <c r="M58" s="809"/>
      <c r="N58" s="809"/>
      <c r="O58" s="809"/>
      <c r="P58" s="809"/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82"/>
      <c r="B59" s="686"/>
      <c r="C59" s="809"/>
      <c r="D59" s="809"/>
      <c r="E59" s="809"/>
      <c r="F59" s="809"/>
      <c r="G59" s="809"/>
      <c r="H59" s="809"/>
      <c r="I59" s="82"/>
      <c r="J59" s="686">
        <f t="shared" si="1"/>
        <v>0</v>
      </c>
      <c r="K59" s="809"/>
      <c r="L59" s="809"/>
      <c r="M59" s="809"/>
      <c r="N59" s="809"/>
      <c r="O59" s="809"/>
      <c r="P59" s="809"/>
      <c r="Q59" s="5"/>
      <c r="R59" s="5"/>
      <c r="S59" s="5"/>
      <c r="T59" s="5"/>
      <c r="U59" s="5"/>
      <c r="V59" s="5"/>
      <c r="W59" s="5"/>
      <c r="X59" s="5"/>
      <c r="Y59" s="5"/>
    </row>
    <row r="60" spans="1:25" ht="27.75" customHeight="1" x14ac:dyDescent="0.2">
      <c r="A60" s="82" t="s">
        <v>1068</v>
      </c>
      <c r="B60" s="687">
        <v>1</v>
      </c>
      <c r="C60" s="1054" t="s">
        <v>2038</v>
      </c>
      <c r="D60" s="809"/>
      <c r="E60" s="809"/>
      <c r="F60" s="809"/>
      <c r="G60" s="809"/>
      <c r="H60" s="809"/>
      <c r="I60" s="82" t="s">
        <v>1068</v>
      </c>
      <c r="J60" s="686">
        <f t="shared" si="1"/>
        <v>1</v>
      </c>
      <c r="K60" s="1054" t="s">
        <v>2038</v>
      </c>
      <c r="L60" s="809"/>
      <c r="M60" s="809"/>
      <c r="N60" s="809"/>
      <c r="O60" s="809"/>
      <c r="P60" s="809"/>
      <c r="Q60" s="5"/>
      <c r="R60" s="5"/>
      <c r="S60" s="5"/>
      <c r="T60" s="5"/>
      <c r="U60" s="5"/>
      <c r="V60" s="5"/>
      <c r="W60" s="5"/>
      <c r="X60" s="5"/>
      <c r="Y60" s="5"/>
    </row>
    <row r="61" spans="1:25" ht="25.5" customHeight="1" x14ac:dyDescent="0.2">
      <c r="A61" s="82" t="s">
        <v>1967</v>
      </c>
      <c r="B61" s="686">
        <f>B13</f>
        <v>1.35</v>
      </c>
      <c r="C61" s="1054" t="s">
        <v>2039</v>
      </c>
      <c r="D61" s="809"/>
      <c r="E61" s="809"/>
      <c r="F61" s="809"/>
      <c r="G61" s="809"/>
      <c r="H61" s="809"/>
      <c r="I61" s="82" t="s">
        <v>1967</v>
      </c>
      <c r="J61" s="686">
        <f t="shared" si="1"/>
        <v>1.35</v>
      </c>
      <c r="K61" s="1054" t="s">
        <v>2039</v>
      </c>
      <c r="L61" s="809"/>
      <c r="M61" s="809"/>
      <c r="N61" s="809"/>
      <c r="O61" s="809"/>
      <c r="P61" s="809"/>
      <c r="Q61" s="5"/>
      <c r="R61" s="5"/>
      <c r="S61" s="5"/>
      <c r="T61" s="5"/>
      <c r="U61" s="5"/>
      <c r="V61" s="5"/>
      <c r="W61" s="5"/>
      <c r="X61" s="5"/>
      <c r="Y61" s="5"/>
    </row>
    <row r="62" spans="1:25" ht="29.25" customHeight="1" x14ac:dyDescent="0.2">
      <c r="A62" s="82" t="s">
        <v>2040</v>
      </c>
      <c r="B62" s="686">
        <f>1.8*B63*B36^0.5</f>
        <v>5.8523847047571982</v>
      </c>
      <c r="C62" s="1054" t="s">
        <v>2041</v>
      </c>
      <c r="D62" s="809"/>
      <c r="E62" s="809"/>
      <c r="F62" s="809"/>
      <c r="G62" s="809"/>
      <c r="H62" s="809"/>
      <c r="I62" s="82" t="s">
        <v>2040</v>
      </c>
      <c r="J62" s="686">
        <f t="shared" si="1"/>
        <v>5.8523847047571982</v>
      </c>
      <c r="K62" s="1054" t="s">
        <v>2041</v>
      </c>
      <c r="L62" s="809"/>
      <c r="M62" s="809"/>
      <c r="N62" s="809"/>
      <c r="O62" s="809"/>
      <c r="P62" s="809"/>
      <c r="Q62" s="5"/>
      <c r="R62" s="5"/>
      <c r="S62" s="5"/>
      <c r="T62" s="5"/>
      <c r="U62" s="5"/>
      <c r="V62" s="5"/>
      <c r="W62" s="5"/>
      <c r="X62" s="5"/>
      <c r="Y62" s="5"/>
    </row>
    <row r="63" spans="1:25" ht="17.25" customHeight="1" x14ac:dyDescent="0.2">
      <c r="A63" s="82" t="s">
        <v>2042</v>
      </c>
      <c r="B63" s="686">
        <f>0.578/(TANH(3.68*B37/B36))^0.5</f>
        <v>0.71635245125511615</v>
      </c>
      <c r="C63" s="5"/>
      <c r="D63" s="5"/>
      <c r="E63" s="5"/>
      <c r="F63" s="5"/>
      <c r="G63" s="5"/>
      <c r="H63" s="5"/>
      <c r="I63" s="82" t="s">
        <v>2042</v>
      </c>
      <c r="J63" s="686">
        <f t="shared" si="1"/>
        <v>0.71635245125511615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0.25" customHeight="1" x14ac:dyDescent="0.3">
      <c r="A67" s="63" t="s">
        <v>2043</v>
      </c>
      <c r="B67" s="5"/>
      <c r="C67" s="5"/>
      <c r="D67" s="5"/>
      <c r="E67" s="5"/>
      <c r="F67" s="5"/>
      <c r="G67" s="5"/>
      <c r="H67" s="5"/>
      <c r="I67" s="63" t="s">
        <v>2043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2.75" customHeight="1" x14ac:dyDescent="0.2">
      <c r="A69" s="5" t="s">
        <v>2044</v>
      </c>
      <c r="B69" s="688">
        <f>B35*(1-0.218*B36/B37)</f>
        <v>-371590.33827967657</v>
      </c>
      <c r="C69" s="1054" t="s">
        <v>2045</v>
      </c>
      <c r="D69" s="809"/>
      <c r="E69" s="809"/>
      <c r="F69" s="809"/>
      <c r="G69" s="809"/>
      <c r="H69" s="809"/>
      <c r="I69" s="5" t="s">
        <v>2044</v>
      </c>
      <c r="J69" s="265">
        <f>B69*0.225</f>
        <v>-83607.826112927229</v>
      </c>
      <c r="K69" s="901" t="s">
        <v>2046</v>
      </c>
      <c r="L69" s="809"/>
      <c r="M69" s="809"/>
      <c r="N69" s="809"/>
      <c r="O69" s="809"/>
      <c r="P69" s="809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2">
      <c r="A70" s="5"/>
      <c r="B70" s="688"/>
      <c r="C70" s="809"/>
      <c r="D70" s="809"/>
      <c r="E70" s="809"/>
      <c r="F70" s="809"/>
      <c r="G70" s="809"/>
      <c r="H70" s="809"/>
      <c r="I70" s="5"/>
      <c r="J70" s="265"/>
      <c r="K70" s="809"/>
      <c r="L70" s="809"/>
      <c r="M70" s="809"/>
      <c r="N70" s="809"/>
      <c r="O70" s="809"/>
      <c r="P70" s="809"/>
      <c r="Q70" s="5"/>
      <c r="R70" s="5"/>
      <c r="S70" s="5"/>
      <c r="T70" s="5"/>
      <c r="U70" s="5"/>
      <c r="V70" s="5"/>
      <c r="W70" s="5"/>
      <c r="X70" s="5"/>
      <c r="Y70" s="5"/>
    </row>
    <row r="71" spans="1:25" ht="27" customHeight="1" x14ac:dyDescent="0.2">
      <c r="A71" s="5" t="s">
        <v>1314</v>
      </c>
      <c r="B71" s="688">
        <f>(0.23*B36/B37*TANH(3.67*B37/B36))*B35</f>
        <v>8125414.1334028943</v>
      </c>
      <c r="C71" s="1054" t="s">
        <v>2047</v>
      </c>
      <c r="D71" s="809"/>
      <c r="E71" s="809"/>
      <c r="F71" s="809"/>
      <c r="G71" s="809"/>
      <c r="H71" s="809"/>
      <c r="I71" s="5" t="s">
        <v>1314</v>
      </c>
      <c r="J71" s="265">
        <f>B71*0.225</f>
        <v>1828218.1800156513</v>
      </c>
      <c r="K71" s="901" t="s">
        <v>2048</v>
      </c>
      <c r="L71" s="809"/>
      <c r="M71" s="809"/>
      <c r="N71" s="809"/>
      <c r="O71" s="809"/>
      <c r="P71" s="809"/>
      <c r="Q71" s="5"/>
      <c r="R71" s="5"/>
      <c r="S71" s="5"/>
      <c r="T71" s="5"/>
      <c r="U71" s="5"/>
      <c r="V71" s="5"/>
      <c r="W71" s="5"/>
      <c r="X71" s="5"/>
      <c r="Y71" s="5"/>
    </row>
    <row r="72" spans="1:25" ht="27" customHeight="1" x14ac:dyDescent="0.2">
      <c r="A72" s="5"/>
      <c r="B72" s="688"/>
      <c r="C72" s="388"/>
      <c r="D72" s="388"/>
      <c r="E72" s="388"/>
      <c r="F72" s="388"/>
      <c r="G72" s="388"/>
      <c r="H72" s="388"/>
      <c r="I72" s="5"/>
      <c r="J72" s="265"/>
      <c r="K72" s="388"/>
      <c r="L72" s="388"/>
      <c r="M72" s="388"/>
      <c r="N72" s="388"/>
      <c r="O72" s="388"/>
      <c r="P72" s="388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2">
      <c r="A73" s="5" t="s">
        <v>735</v>
      </c>
      <c r="B73" s="688">
        <f>(B74^2+B75^2)^0.5</f>
        <v>2732943.6582759582</v>
      </c>
      <c r="C73" s="1054" t="s">
        <v>2049</v>
      </c>
      <c r="D73" s="809"/>
      <c r="E73" s="809"/>
      <c r="F73" s="809"/>
      <c r="G73" s="809"/>
      <c r="H73" s="809"/>
      <c r="I73" s="5" t="s">
        <v>735</v>
      </c>
      <c r="J73" s="265">
        <f>B73*0.225</f>
        <v>614912.32311209058</v>
      </c>
      <c r="K73" s="901" t="s">
        <v>2050</v>
      </c>
      <c r="L73" s="809"/>
      <c r="M73" s="809"/>
      <c r="N73" s="809"/>
      <c r="O73" s="809"/>
      <c r="P73" s="809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">
      <c r="A74" s="5" t="s">
        <v>2051</v>
      </c>
      <c r="B74" s="688">
        <f>B56*(B32+B33+B34+B69+B38/2+B39/2)</f>
        <v>2488646.845468556</v>
      </c>
      <c r="C74" s="1054" t="s">
        <v>2052</v>
      </c>
      <c r="D74" s="809"/>
      <c r="E74" s="809"/>
      <c r="F74" s="809"/>
      <c r="G74" s="809"/>
      <c r="H74" s="809"/>
      <c r="I74" s="5" t="s">
        <v>2051</v>
      </c>
      <c r="J74" s="265">
        <f>B74*0.225</f>
        <v>559945.54023042507</v>
      </c>
      <c r="K74" s="901" t="s">
        <v>2053</v>
      </c>
      <c r="L74" s="809"/>
      <c r="M74" s="809"/>
      <c r="N74" s="809"/>
      <c r="O74" s="809"/>
      <c r="P74" s="809"/>
      <c r="Q74" s="5"/>
      <c r="R74" s="5"/>
      <c r="S74" s="5"/>
      <c r="T74" s="5"/>
      <c r="U74" s="5"/>
      <c r="V74" s="5"/>
      <c r="W74" s="5"/>
      <c r="X74" s="5"/>
      <c r="Y74" s="5"/>
    </row>
    <row r="75" spans="1:25" ht="25.5" customHeight="1" x14ac:dyDescent="0.2">
      <c r="A75" s="5" t="s">
        <v>2054</v>
      </c>
      <c r="B75" s="688">
        <f>B57*B71</f>
        <v>1129432.5645430025</v>
      </c>
      <c r="C75" s="1054" t="s">
        <v>2055</v>
      </c>
      <c r="D75" s="809"/>
      <c r="E75" s="809"/>
      <c r="F75" s="809"/>
      <c r="G75" s="809"/>
      <c r="H75" s="809"/>
      <c r="I75" s="5" t="s">
        <v>2054</v>
      </c>
      <c r="J75" s="265">
        <f>B75*0.225</f>
        <v>254122.32702217557</v>
      </c>
      <c r="K75" s="901" t="s">
        <v>2056</v>
      </c>
      <c r="L75" s="809"/>
      <c r="M75" s="809"/>
      <c r="N75" s="809"/>
      <c r="O75" s="809"/>
      <c r="P75" s="809"/>
      <c r="Q75" s="5"/>
      <c r="R75" s="5"/>
      <c r="S75" s="5"/>
      <c r="T75" s="5"/>
      <c r="U75" s="5"/>
      <c r="V75" s="5"/>
      <c r="W75" s="5"/>
      <c r="X75" s="5"/>
      <c r="Y75" s="5"/>
    </row>
    <row r="76" spans="1:25" ht="24.75" customHeight="1" x14ac:dyDescent="0.2">
      <c r="A76" s="5"/>
      <c r="B76" s="265"/>
      <c r="C76" s="388"/>
      <c r="D76" s="388"/>
      <c r="E76" s="388"/>
      <c r="F76" s="388"/>
      <c r="G76" s="388"/>
      <c r="H76" s="388"/>
      <c r="I76" s="5"/>
      <c r="J76" s="265"/>
      <c r="K76" s="388"/>
      <c r="L76" s="388"/>
      <c r="M76" s="388"/>
      <c r="N76" s="388"/>
      <c r="O76" s="388"/>
      <c r="P76" s="388"/>
      <c r="Q76" s="5"/>
      <c r="R76" s="5"/>
      <c r="S76" s="5"/>
      <c r="T76" s="5"/>
      <c r="U76" s="5"/>
      <c r="V76" s="5"/>
      <c r="W76" s="5"/>
      <c r="X76" s="5"/>
      <c r="Y76" s="5"/>
    </row>
    <row r="77" spans="1:25" ht="12.75" customHeight="1" x14ac:dyDescent="0.2">
      <c r="A77" s="5" t="s">
        <v>2057</v>
      </c>
      <c r="B77" s="265">
        <f>2*B73/(B36*PI())</f>
        <v>84458.542214809</v>
      </c>
      <c r="C77" s="982" t="s">
        <v>2058</v>
      </c>
      <c r="D77" s="809"/>
      <c r="E77" s="809"/>
      <c r="F77" s="809"/>
      <c r="G77" s="809"/>
      <c r="H77" s="809"/>
      <c r="I77" s="5" t="s">
        <v>2057</v>
      </c>
      <c r="J77" s="686">
        <f>B77</f>
        <v>84458.542214809</v>
      </c>
      <c r="K77" s="982" t="s">
        <v>2058</v>
      </c>
      <c r="L77" s="809"/>
      <c r="M77" s="809"/>
      <c r="N77" s="809"/>
      <c r="O77" s="809"/>
      <c r="P77" s="809"/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2">
      <c r="A78" s="5"/>
      <c r="B78" s="265"/>
      <c r="C78" s="809"/>
      <c r="D78" s="809"/>
      <c r="E78" s="809"/>
      <c r="F78" s="809"/>
      <c r="G78" s="809"/>
      <c r="H78" s="809"/>
      <c r="I78" s="5"/>
      <c r="J78" s="265"/>
      <c r="K78" s="809"/>
      <c r="L78" s="809"/>
      <c r="M78" s="809"/>
      <c r="N78" s="809"/>
      <c r="O78" s="809"/>
      <c r="P78" s="809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">
      <c r="A79" s="5" t="s">
        <v>2059</v>
      </c>
      <c r="B79" s="265">
        <f>B52*(B32+B33+B35+B34)*(1-0.4*B9)</f>
        <v>3373208.9435193683</v>
      </c>
      <c r="C79" s="1054" t="s">
        <v>2060</v>
      </c>
      <c r="D79" s="809"/>
      <c r="E79" s="809"/>
      <c r="F79" s="809"/>
      <c r="G79" s="809"/>
      <c r="H79" s="809"/>
      <c r="I79" s="5" t="s">
        <v>2059</v>
      </c>
      <c r="J79" s="265">
        <f>B79*0.225</f>
        <v>758972.01229185786</v>
      </c>
      <c r="K79" s="901" t="s">
        <v>2061</v>
      </c>
      <c r="L79" s="809"/>
      <c r="M79" s="809"/>
      <c r="N79" s="809"/>
      <c r="O79" s="809"/>
      <c r="P79" s="809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">
      <c r="A80" s="5"/>
      <c r="B80" s="265"/>
      <c r="C80" s="5"/>
      <c r="D80" s="5"/>
      <c r="E80" s="5"/>
      <c r="F80" s="5"/>
      <c r="G80" s="5"/>
      <c r="H80" s="5"/>
      <c r="I80" s="5"/>
      <c r="J80" s="26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x14ac:dyDescent="0.2">
      <c r="A81" s="117" t="s">
        <v>2062</v>
      </c>
      <c r="B81" s="689">
        <f>B79/B73</f>
        <v>1.2342767964881183</v>
      </c>
      <c r="C81" s="690" t="str">
        <f>IF(B81&gt;1,"OK","ERROR")</f>
        <v>OK</v>
      </c>
      <c r="D81" s="5"/>
      <c r="E81" s="5"/>
      <c r="F81" s="5"/>
      <c r="G81" s="5"/>
      <c r="H81" s="5"/>
      <c r="I81" s="117" t="s">
        <v>2062</v>
      </c>
      <c r="J81" s="689">
        <f>J79/J73</f>
        <v>1.2342767964881183</v>
      </c>
      <c r="K81" s="690" t="str">
        <f>IF(J81&gt;1,"OK","ERROR")</f>
        <v>OK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">
      <c r="A82" s="5"/>
      <c r="B82" s="265"/>
      <c r="C82" s="5"/>
      <c r="D82" s="5"/>
      <c r="E82" s="5"/>
      <c r="F82" s="5"/>
      <c r="G82" s="5"/>
      <c r="H82" s="5"/>
      <c r="I82" s="5"/>
      <c r="J82" s="26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x14ac:dyDescent="0.2">
      <c r="A83" s="5" t="s">
        <v>2063</v>
      </c>
      <c r="B83" s="265">
        <f>B77/(B30*1000)</f>
        <v>10.557317776851125</v>
      </c>
      <c r="C83" s="5" t="s">
        <v>2064</v>
      </c>
      <c r="D83" s="5"/>
      <c r="E83" s="5"/>
      <c r="F83" s="5"/>
      <c r="G83" s="5"/>
      <c r="H83" s="5"/>
      <c r="I83" s="5" t="s">
        <v>2063</v>
      </c>
      <c r="J83" s="265">
        <f>B83*145.04</f>
        <v>1531.2333703544871</v>
      </c>
      <c r="K83" s="64" t="s">
        <v>2065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.5" customHeight="1" thickBo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7.25" customHeight="1" thickTop="1" thickBot="1" x14ac:dyDescent="0.3">
      <c r="A86" s="28"/>
      <c r="B86" s="4"/>
      <c r="C86" s="408"/>
      <c r="D86" s="934" t="str">
        <f>'Front Page'!$A$13</f>
        <v>Mechanical  Calculations</v>
      </c>
      <c r="E86" s="842"/>
      <c r="F86" s="842"/>
      <c r="G86" s="842"/>
      <c r="H86" s="859"/>
      <c r="I86" s="28"/>
      <c r="J86" s="4"/>
      <c r="K86" s="408"/>
      <c r="L86" s="934" t="str">
        <f>'Front Page'!$A$13</f>
        <v>Mechanical  Calculations</v>
      </c>
      <c r="M86" s="842"/>
      <c r="N86" s="842"/>
      <c r="O86" s="842"/>
      <c r="P86" s="859"/>
      <c r="Q86" s="5"/>
      <c r="R86" s="5"/>
      <c r="S86" s="5"/>
      <c r="T86" s="5"/>
      <c r="U86" s="5"/>
      <c r="V86" s="5"/>
      <c r="W86" s="5"/>
      <c r="X86" s="5"/>
      <c r="Y86" s="5"/>
    </row>
    <row r="87" spans="1:25" ht="16.5" customHeight="1" thickBot="1" x14ac:dyDescent="0.3">
      <c r="A87" s="6"/>
      <c r="B87" s="5"/>
      <c r="C87" s="14"/>
      <c r="D87" s="984"/>
      <c r="E87" s="831"/>
      <c r="F87" s="831"/>
      <c r="G87" s="831"/>
      <c r="H87" s="854"/>
      <c r="I87" s="6"/>
      <c r="J87" s="5"/>
      <c r="K87" s="14"/>
      <c r="L87" s="984">
        <f>'Front Page'!$A$21</f>
        <v>0</v>
      </c>
      <c r="M87" s="831"/>
      <c r="N87" s="831"/>
      <c r="O87" s="831"/>
      <c r="P87" s="854"/>
      <c r="Q87" s="5"/>
      <c r="R87" s="5"/>
      <c r="S87" s="5"/>
      <c r="T87" s="5"/>
      <c r="U87" s="5"/>
      <c r="V87" s="5"/>
      <c r="W87" s="5"/>
      <c r="X87" s="5"/>
      <c r="Y87" s="5"/>
    </row>
    <row r="88" spans="1:25" ht="16.5" customHeight="1" thickBot="1" x14ac:dyDescent="0.3">
      <c r="A88" s="8"/>
      <c r="B88" s="9"/>
      <c r="C88" s="409"/>
      <c r="D88" s="985" t="s">
        <v>1954</v>
      </c>
      <c r="E88" s="834"/>
      <c r="F88" s="834"/>
      <c r="G88" s="834"/>
      <c r="H88" s="986"/>
      <c r="I88" s="8"/>
      <c r="J88" s="9"/>
      <c r="K88" s="409"/>
      <c r="L88" s="985" t="s">
        <v>1954</v>
      </c>
      <c r="M88" s="834"/>
      <c r="N88" s="834"/>
      <c r="O88" s="834"/>
      <c r="P88" s="986"/>
      <c r="Q88" s="5"/>
      <c r="R88" s="5"/>
      <c r="S88" s="5"/>
      <c r="T88" s="5"/>
      <c r="U88" s="5"/>
      <c r="V88" s="5"/>
      <c r="W88" s="5"/>
      <c r="X88" s="5"/>
      <c r="Y88" s="5"/>
    </row>
    <row r="89" spans="1:25" ht="16.5" customHeight="1" thickTop="1" thickBot="1" x14ac:dyDescent="0.3">
      <c r="A89" s="873"/>
      <c r="B89" s="848"/>
      <c r="C89" s="865"/>
      <c r="D89" s="385" t="str">
        <f>'Front Page'!$D$4</f>
        <v>Doc Nº</v>
      </c>
      <c r="E89" s="980"/>
      <c r="F89" s="843"/>
      <c r="G89" s="980"/>
      <c r="H89" s="843"/>
      <c r="I89" s="873"/>
      <c r="J89" s="848"/>
      <c r="K89" s="865"/>
      <c r="L89" s="385" t="str">
        <f>'Front Page'!$D$4</f>
        <v>Doc Nº</v>
      </c>
      <c r="M89" s="980"/>
      <c r="N89" s="843"/>
      <c r="O89" s="980"/>
      <c r="P89" s="843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 thickBot="1" x14ac:dyDescent="0.3">
      <c r="A90" s="860"/>
      <c r="B90" s="851"/>
      <c r="C90" s="861"/>
      <c r="D90" s="386" t="str">
        <f>'Front Page'!$D$5</f>
        <v>Project</v>
      </c>
      <c r="E90" s="899"/>
      <c r="F90" s="835"/>
      <c r="G90" s="131" t="s">
        <v>5</v>
      </c>
      <c r="H90" s="132"/>
      <c r="I90" s="860"/>
      <c r="J90" s="851"/>
      <c r="K90" s="861"/>
      <c r="L90" s="386" t="str">
        <f>'Front Page'!$D$5</f>
        <v>Project</v>
      </c>
      <c r="M90" s="899"/>
      <c r="N90" s="835"/>
      <c r="O90" s="131" t="s">
        <v>5</v>
      </c>
      <c r="P90" s="427"/>
      <c r="Q90" s="5"/>
      <c r="R90" s="5"/>
      <c r="S90" s="5"/>
      <c r="T90" s="5"/>
      <c r="U90" s="5"/>
      <c r="V90" s="5"/>
      <c r="W90" s="5"/>
      <c r="X90" s="5"/>
      <c r="Y90" s="5"/>
    </row>
    <row r="91" spans="1:25" ht="13.5" customHeight="1" thickTop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0.25" customHeight="1" x14ac:dyDescent="0.3">
      <c r="A94" s="63" t="s">
        <v>2066</v>
      </c>
      <c r="B94" s="5"/>
      <c r="C94" s="5"/>
      <c r="D94" s="5"/>
      <c r="E94" s="5"/>
      <c r="F94" s="5"/>
      <c r="G94" s="5"/>
      <c r="H94" s="5"/>
      <c r="I94" s="63" t="s">
        <v>2066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 t="s">
        <v>2067</v>
      </c>
      <c r="S95" s="5"/>
      <c r="T95" s="5"/>
      <c r="U95" s="5"/>
      <c r="V95" s="5"/>
      <c r="W95" s="5"/>
      <c r="X95" s="5"/>
      <c r="Y95" s="5"/>
    </row>
    <row r="96" spans="1:25" ht="45.75" customHeight="1" x14ac:dyDescent="0.2">
      <c r="A96" s="82" t="s">
        <v>2068</v>
      </c>
      <c r="B96" s="691">
        <f>(0.5-0.094*B36/B37)*B37</f>
        <v>0.23859999999999962</v>
      </c>
      <c r="C96" s="1064" t="s">
        <v>2069</v>
      </c>
      <c r="D96" s="809"/>
      <c r="E96" s="809"/>
      <c r="F96" s="809"/>
      <c r="G96" s="809"/>
      <c r="H96" s="809"/>
      <c r="I96" s="82" t="s">
        <v>2068</v>
      </c>
      <c r="J96" s="683">
        <f>B96*1000/25.4</f>
        <v>9.3937007874015599</v>
      </c>
      <c r="K96" s="1068" t="s">
        <v>2070</v>
      </c>
      <c r="L96" s="809"/>
      <c r="M96" s="809"/>
      <c r="N96" s="809"/>
      <c r="O96" s="809"/>
      <c r="P96" s="809"/>
      <c r="Q96" s="5"/>
      <c r="R96" s="5"/>
      <c r="S96" s="5"/>
      <c r="T96" s="5"/>
      <c r="U96" s="5"/>
      <c r="V96" s="5"/>
      <c r="W96" s="5"/>
      <c r="X96" s="5"/>
      <c r="Y96" s="5"/>
    </row>
    <row r="97" spans="1:25" ht="43.5" customHeight="1" x14ac:dyDescent="0.2">
      <c r="A97" s="82" t="s">
        <v>2071</v>
      </c>
      <c r="B97" s="691">
        <f>(0.5+0.06*B36/B37)*B37</f>
        <v>3.4109999999999996</v>
      </c>
      <c r="C97" s="1064" t="s">
        <v>2072</v>
      </c>
      <c r="D97" s="809"/>
      <c r="E97" s="809"/>
      <c r="F97" s="809"/>
      <c r="G97" s="809"/>
      <c r="H97" s="809"/>
      <c r="I97" s="82" t="s">
        <v>2071</v>
      </c>
      <c r="J97" s="683">
        <f>B97*1000/25.4</f>
        <v>134.29133858267716</v>
      </c>
      <c r="K97" s="1068" t="s">
        <v>2073</v>
      </c>
      <c r="L97" s="809"/>
      <c r="M97" s="809"/>
      <c r="N97" s="809"/>
      <c r="O97" s="809"/>
      <c r="P97" s="809"/>
      <c r="Q97" s="5"/>
      <c r="R97" s="5"/>
      <c r="S97" s="5"/>
      <c r="T97" s="5"/>
      <c r="U97" s="5"/>
      <c r="V97" s="5"/>
      <c r="W97" s="5"/>
      <c r="X97" s="5"/>
      <c r="Y97" s="5"/>
    </row>
    <row r="98" spans="1:25" ht="53.25" customHeight="1" x14ac:dyDescent="0.2">
      <c r="A98" s="82" t="s">
        <v>2074</v>
      </c>
      <c r="B98" s="691">
        <f>(1-(COSH(3.67*B37/B36)-1)/(3.67*B37/B36*SINH(3.67*B37/B36)))*B37</f>
        <v>2.2776932179640847</v>
      </c>
      <c r="C98" s="1065" t="s">
        <v>2075</v>
      </c>
      <c r="D98" s="809"/>
      <c r="E98" s="809"/>
      <c r="F98" s="809"/>
      <c r="G98" s="809"/>
      <c r="H98" s="809"/>
      <c r="I98" s="82" t="s">
        <v>2074</v>
      </c>
      <c r="J98" s="683">
        <f>B98*1000/25.4</f>
        <v>89.672961337168701</v>
      </c>
      <c r="K98" s="900" t="s">
        <v>2076</v>
      </c>
      <c r="L98" s="809"/>
      <c r="M98" s="809"/>
      <c r="N98" s="809"/>
      <c r="O98" s="809"/>
      <c r="P98" s="809"/>
      <c r="Q98" s="5"/>
      <c r="R98" s="5"/>
      <c r="S98" s="5">
        <f>B36/B37</f>
        <v>4.7356321839080469</v>
      </c>
      <c r="T98" s="5" t="str">
        <f>IF(S98&gt;1.33, "Error", "OK")</f>
        <v>Error</v>
      </c>
      <c r="U98" s="5"/>
      <c r="V98" s="5"/>
      <c r="W98" s="5"/>
      <c r="X98" s="5"/>
      <c r="Y98" s="5"/>
    </row>
    <row r="99" spans="1:25" ht="43.5" customHeight="1" x14ac:dyDescent="0.2">
      <c r="A99" s="82" t="s">
        <v>2077</v>
      </c>
      <c r="B99" s="691">
        <f>B37*(1-(COSH(3.67*B37/B36)-1.937)/(3.67*B37/B36*SINH(3.67*B37/B36)))</f>
        <v>8.4297340870978061</v>
      </c>
      <c r="C99" s="1064" t="s">
        <v>2078</v>
      </c>
      <c r="D99" s="809"/>
      <c r="E99" s="809"/>
      <c r="F99" s="809"/>
      <c r="G99" s="809"/>
      <c r="H99" s="809"/>
      <c r="I99" s="82" t="s">
        <v>2077</v>
      </c>
      <c r="J99" s="683">
        <f>B99*1000/25.4</f>
        <v>331.8792947676302</v>
      </c>
      <c r="K99" s="1068" t="s">
        <v>2079</v>
      </c>
      <c r="L99" s="809"/>
      <c r="M99" s="809"/>
      <c r="N99" s="809"/>
      <c r="O99" s="809"/>
      <c r="P99" s="809"/>
      <c r="Q99" s="5"/>
      <c r="R99" s="5"/>
      <c r="S99" s="5"/>
      <c r="T99" s="5"/>
      <c r="U99" s="5"/>
      <c r="V99" s="5"/>
      <c r="W99" s="5"/>
      <c r="X99" s="5"/>
      <c r="Y99" s="5"/>
    </row>
    <row r="100" spans="1:25" ht="41.25" customHeight="1" x14ac:dyDescent="0.2">
      <c r="A100" s="5"/>
      <c r="B100" s="5"/>
      <c r="C100" s="212"/>
      <c r="D100" s="212"/>
      <c r="E100" s="212"/>
      <c r="F100" s="212"/>
      <c r="G100" s="212"/>
      <c r="H100" s="212"/>
      <c r="I100" s="5"/>
      <c r="J100" s="5"/>
      <c r="K100" s="900" t="s">
        <v>2080</v>
      </c>
      <c r="L100" s="809"/>
      <c r="M100" s="809"/>
      <c r="N100" s="809"/>
      <c r="O100" s="809"/>
      <c r="P100" s="809"/>
      <c r="Q100" s="5"/>
      <c r="R100" s="5"/>
      <c r="S100" s="5"/>
      <c r="T100" s="5"/>
      <c r="U100" s="5"/>
      <c r="V100" s="5"/>
      <c r="W100" s="5"/>
      <c r="X100" s="5"/>
      <c r="Y100" s="5"/>
    </row>
    <row r="101" spans="1:25" x14ac:dyDescent="0.2">
      <c r="A101" s="5" t="s">
        <v>1689</v>
      </c>
      <c r="B101" s="692">
        <f>SQRT((B56*(B69*B96+B32*B24+B33*B25+B38*B37/2+B39*B25))^2+(B57*(B71*B98))^2)</f>
        <v>18381043.648901284</v>
      </c>
      <c r="C101" s="1054" t="s">
        <v>2081</v>
      </c>
      <c r="D101" s="809"/>
      <c r="E101" s="809"/>
      <c r="F101" s="809"/>
      <c r="G101" s="809"/>
      <c r="H101" s="809"/>
      <c r="I101" s="5" t="s">
        <v>1689</v>
      </c>
      <c r="J101" s="686">
        <f>B101*0.06858</f>
        <v>1260571.9734416502</v>
      </c>
      <c r="K101" s="901" t="s">
        <v>2082</v>
      </c>
      <c r="L101" s="809"/>
      <c r="M101" s="809"/>
      <c r="N101" s="809"/>
      <c r="O101" s="809"/>
      <c r="P101" s="809"/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">
      <c r="A102" s="5" t="s">
        <v>2083</v>
      </c>
      <c r="B102" s="692">
        <f>SQRT((B56*(B69*B97+B32*B24+B33*B25+B38*B37/4+B39*B25))^2+(B57*(B71*B99))^2)</f>
        <v>16650258.610082526</v>
      </c>
      <c r="C102" s="1054" t="s">
        <v>2084</v>
      </c>
      <c r="D102" s="809"/>
      <c r="E102" s="809"/>
      <c r="F102" s="809"/>
      <c r="G102" s="809"/>
      <c r="H102" s="809"/>
      <c r="I102" s="5" t="s">
        <v>2083</v>
      </c>
      <c r="J102" s="686">
        <f>B102*0.06858</f>
        <v>1141874.7354794596</v>
      </c>
      <c r="K102" s="901" t="s">
        <v>2085</v>
      </c>
      <c r="L102" s="809"/>
      <c r="M102" s="809"/>
      <c r="N102" s="809"/>
      <c r="O102" s="809"/>
      <c r="P102" s="809"/>
      <c r="Q102" s="5"/>
      <c r="R102" s="5"/>
      <c r="S102" s="5"/>
      <c r="T102" s="5"/>
      <c r="U102" s="5"/>
      <c r="V102" s="5"/>
      <c r="W102" s="5"/>
      <c r="X102" s="5"/>
      <c r="Y102" s="5"/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 t="s">
        <v>1712</v>
      </c>
      <c r="S103" s="5"/>
      <c r="T103" s="5"/>
      <c r="U103" s="5" t="s">
        <v>2086</v>
      </c>
      <c r="V103" s="5">
        <f>S106/U106</f>
        <v>1.7448132610776408</v>
      </c>
      <c r="W103" s="5"/>
      <c r="X103" s="5"/>
      <c r="Y103" s="5"/>
    </row>
    <row r="104" spans="1:25" ht="20.25" customHeight="1" x14ac:dyDescent="0.3">
      <c r="A104" s="63" t="s">
        <v>2087</v>
      </c>
      <c r="B104" s="5"/>
      <c r="C104" s="5"/>
      <c r="D104" s="5"/>
      <c r="E104" s="5"/>
      <c r="F104" s="5"/>
      <c r="G104" s="5"/>
      <c r="H104" s="5"/>
      <c r="I104" s="63" t="s">
        <v>2087</v>
      </c>
      <c r="J104" s="5"/>
      <c r="K104" s="5"/>
      <c r="L104" s="5"/>
      <c r="M104" s="5"/>
      <c r="N104" s="5"/>
      <c r="O104" s="5"/>
      <c r="P104" s="5"/>
      <c r="Q104" s="5"/>
      <c r="R104" s="5" t="s">
        <v>2088</v>
      </c>
      <c r="S104" s="5"/>
      <c r="T104" s="5"/>
      <c r="U104" s="5"/>
      <c r="V104" s="5"/>
      <c r="W104" s="5"/>
      <c r="X104" s="5"/>
      <c r="Y104" s="5"/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 t="s">
        <v>2089</v>
      </c>
      <c r="S105" s="5"/>
      <c r="T105" s="5"/>
      <c r="U105" s="5" t="s">
        <v>2090</v>
      </c>
      <c r="V105" s="5" t="s">
        <v>2091</v>
      </c>
      <c r="W105" s="5"/>
      <c r="X105" s="5"/>
      <c r="Y105" s="5"/>
    </row>
    <row r="106" spans="1:25" ht="42" customHeight="1" x14ac:dyDescent="0.2">
      <c r="A106" s="82" t="s">
        <v>2089</v>
      </c>
      <c r="B106" s="686">
        <f>(B50*(1+0.4*B9)+1.273*B101/B36^2)/(1000*B30)</f>
        <v>9.7542879353710248</v>
      </c>
      <c r="C106" s="1054" t="s">
        <v>2092</v>
      </c>
      <c r="D106" s="809"/>
      <c r="E106" s="809"/>
      <c r="F106" s="809"/>
      <c r="G106" s="809"/>
      <c r="H106" s="809"/>
      <c r="I106" s="82" t="s">
        <v>2089</v>
      </c>
      <c r="J106" s="686">
        <f>B106*145.04</f>
        <v>1414.7619221462135</v>
      </c>
      <c r="K106" s="901" t="s">
        <v>2093</v>
      </c>
      <c r="L106" s="809"/>
      <c r="M106" s="809"/>
      <c r="N106" s="809"/>
      <c r="O106" s="809"/>
      <c r="P106" s="809"/>
      <c r="Q106" s="5"/>
      <c r="R106" s="5" t="s">
        <v>2094</v>
      </c>
      <c r="S106" s="117">
        <v>5.6991851878187081</v>
      </c>
      <c r="T106" s="5"/>
      <c r="U106" s="265">
        <f>'Inner Vessel Shell Thickness'!E58</f>
        <v>3.2663582487324443</v>
      </c>
      <c r="V106" s="5"/>
      <c r="W106" s="5"/>
      <c r="X106" s="5"/>
      <c r="Y106" s="5"/>
    </row>
    <row r="107" spans="1:25" ht="25.5" customHeight="1" x14ac:dyDescent="0.2">
      <c r="A107" s="82" t="s">
        <v>2094</v>
      </c>
      <c r="B107" s="686">
        <f>IF(B108&lt;44,83*B30/(2.5*B36)+7.5*(B37*B31)^0.5,83*B30/(B36))</f>
        <v>26.954053786683787</v>
      </c>
      <c r="C107" s="1003" t="s">
        <v>2095</v>
      </c>
      <c r="D107" s="809"/>
      <c r="E107" s="809"/>
      <c r="F107" s="809"/>
      <c r="G107" s="809"/>
      <c r="H107" s="809"/>
      <c r="I107" s="82" t="s">
        <v>2094</v>
      </c>
      <c r="J107" s="686">
        <f>B107*145.04</f>
        <v>3909.4159612206163</v>
      </c>
      <c r="K107" s="900" t="s">
        <v>2096</v>
      </c>
      <c r="L107" s="809"/>
      <c r="M107" s="809"/>
      <c r="N107" s="809"/>
      <c r="O107" s="809"/>
      <c r="P107" s="809"/>
      <c r="Q107" s="5"/>
      <c r="R107" s="5"/>
      <c r="S107" s="5"/>
      <c r="T107" s="5"/>
      <c r="U107" s="265">
        <f>'Inner Vessel Shell Thickness'!E59</f>
        <v>2.2148566682168891</v>
      </c>
      <c r="V107" s="5">
        <f t="shared" ref="V107:V114" si="2">U107*$V$103</f>
        <v>3.8645112860910684</v>
      </c>
      <c r="W107" s="5"/>
      <c r="X107" s="5"/>
      <c r="Y107" s="5"/>
    </row>
    <row r="108" spans="1:25" x14ac:dyDescent="0.2">
      <c r="A108" s="5" t="s">
        <v>2097</v>
      </c>
      <c r="B108" s="265">
        <f>B31*B37*B36^2/B30^2</f>
        <v>23.305320750000003</v>
      </c>
      <c r="C108" s="5"/>
      <c r="D108" s="5"/>
      <c r="E108" s="5"/>
      <c r="F108" s="5"/>
      <c r="G108" s="5"/>
      <c r="H108" s="5"/>
      <c r="I108" s="5" t="s">
        <v>2097</v>
      </c>
      <c r="J108" s="686">
        <f>B108</f>
        <v>23.305320750000003</v>
      </c>
      <c r="K108" s="5"/>
      <c r="L108" s="5"/>
      <c r="M108" s="5"/>
      <c r="N108" s="5"/>
      <c r="O108" s="5"/>
      <c r="P108" s="5"/>
      <c r="Q108" s="5"/>
      <c r="R108" s="5"/>
      <c r="S108" s="5">
        <f>(B50*(1+0.4*B9)+1.273*B101/B36^2)/(1000*S106)</f>
        <v>13.692185972436326</v>
      </c>
      <c r="T108" s="5"/>
      <c r="U108" s="265">
        <f>'Inner Vessel Shell Thickness'!E60</f>
        <v>1.163355087701333</v>
      </c>
      <c r="V108" s="5">
        <f t="shared" si="2"/>
        <v>2.0298373843634274</v>
      </c>
      <c r="W108" s="5"/>
      <c r="X108" s="5"/>
      <c r="Y108" s="5"/>
    </row>
    <row r="109" spans="1:25" ht="25.5" customHeight="1" x14ac:dyDescent="0.2">
      <c r="A109" s="571" t="s">
        <v>2098</v>
      </c>
      <c r="B109" s="693">
        <f>B107/B106</f>
        <v>2.7633030688937246</v>
      </c>
      <c r="C109" s="694" t="str">
        <f>IF(B109&gt;1,"OK","ERROR")</f>
        <v>OK</v>
      </c>
      <c r="D109" s="5"/>
      <c r="E109" s="5"/>
      <c r="F109" s="5"/>
      <c r="G109" s="5"/>
      <c r="H109" s="5"/>
      <c r="I109" s="571" t="s">
        <v>2098</v>
      </c>
      <c r="J109" s="693">
        <f>J107/J106</f>
        <v>2.7633030688937246</v>
      </c>
      <c r="K109" s="694" t="str">
        <f>IF(J109&gt;1,"OK","ERROR")</f>
        <v>OK</v>
      </c>
      <c r="L109" s="5"/>
      <c r="M109" s="5"/>
      <c r="N109" s="5"/>
      <c r="O109" s="5"/>
      <c r="P109" s="5"/>
      <c r="Q109" s="5"/>
      <c r="R109" s="5"/>
      <c r="S109" s="5">
        <f>IF(B108&lt;44,83*S106/(2.5*B36)+7.5*(B37*B31*0.001)^0.5,83*S106/(B36))</f>
        <v>9.6297376898611127</v>
      </c>
      <c r="T109" s="5"/>
      <c r="U109" s="265">
        <f>'Inner Vessel Shell Thickness'!E61</f>
        <v>0.97934231111111103</v>
      </c>
      <c r="V109" s="5">
        <f t="shared" si="2"/>
        <v>1.7087694515610912</v>
      </c>
      <c r="W109" s="5"/>
      <c r="X109" s="5"/>
      <c r="Y109" s="5"/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265">
        <f>'Inner Vessel Shell Thickness'!E62</f>
        <v>0.97934231111111103</v>
      </c>
      <c r="V110" s="5">
        <f t="shared" si="2"/>
        <v>1.7087694515610912</v>
      </c>
      <c r="W110" s="5"/>
      <c r="X110" s="5"/>
      <c r="Y110" s="5"/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>
        <f>S108-S109</f>
        <v>4.0624482825752128</v>
      </c>
      <c r="T111" s="5"/>
      <c r="U111" s="265">
        <f>'Inner Vessel Shell Thickness'!E63</f>
        <v>0.97934231111111103</v>
      </c>
      <c r="V111" s="5">
        <f t="shared" si="2"/>
        <v>1.7087694515610912</v>
      </c>
      <c r="W111" s="5"/>
      <c r="X111" s="5"/>
      <c r="Y111" s="5"/>
    </row>
    <row r="112" spans="1:25" x14ac:dyDescent="0.2">
      <c r="A112" s="1066" t="s">
        <v>2099</v>
      </c>
      <c r="B112" s="809"/>
      <c r="C112" s="809"/>
      <c r="D112" s="809"/>
      <c r="E112" s="809"/>
      <c r="F112" s="809"/>
      <c r="G112" s="809"/>
      <c r="H112" s="809"/>
      <c r="I112" s="1066" t="s">
        <v>2100</v>
      </c>
      <c r="J112" s="809"/>
      <c r="K112" s="809"/>
      <c r="L112" s="809"/>
      <c r="M112" s="809"/>
      <c r="N112" s="809"/>
      <c r="O112" s="809"/>
      <c r="P112" s="809"/>
      <c r="Q112" s="5"/>
      <c r="R112" s="5"/>
      <c r="S112" s="5"/>
      <c r="T112" s="5"/>
      <c r="U112" s="265">
        <f>'Inner Vessel Shell Thickness'!E64</f>
        <v>0.97934231111111103</v>
      </c>
      <c r="V112" s="5">
        <f t="shared" si="2"/>
        <v>1.7087694515610912</v>
      </c>
      <c r="W112" s="5"/>
      <c r="X112" s="5"/>
      <c r="Y112" s="5"/>
    </row>
    <row r="113" spans="1:25" x14ac:dyDescent="0.2">
      <c r="A113" s="809"/>
      <c r="B113" s="809"/>
      <c r="C113" s="809"/>
      <c r="D113" s="809"/>
      <c r="E113" s="809"/>
      <c r="F113" s="809"/>
      <c r="G113" s="809"/>
      <c r="H113" s="809"/>
      <c r="I113" s="809"/>
      <c r="J113" s="809"/>
      <c r="K113" s="809"/>
      <c r="L113" s="809"/>
      <c r="M113" s="809"/>
      <c r="N113" s="809"/>
      <c r="O113" s="809"/>
      <c r="P113" s="809"/>
      <c r="Q113" s="5"/>
      <c r="R113" s="5"/>
      <c r="S113" s="5"/>
      <c r="T113" s="5"/>
      <c r="U113" s="265">
        <f>'Inner Vessel Shell Thickness'!E65</f>
        <v>0.97934231111111103</v>
      </c>
      <c r="V113" s="5">
        <f t="shared" si="2"/>
        <v>1.7087694515610912</v>
      </c>
      <c r="W113" s="5"/>
      <c r="X113" s="5"/>
      <c r="Y113" s="5"/>
    </row>
    <row r="114" spans="1:25" x14ac:dyDescent="0.2">
      <c r="A114" s="5"/>
      <c r="B114" s="263"/>
      <c r="C114" s="5"/>
      <c r="D114" s="5"/>
      <c r="E114" s="5"/>
      <c r="F114" s="5"/>
      <c r="G114" s="5"/>
      <c r="H114" s="5"/>
      <c r="I114" s="5"/>
      <c r="J114" s="263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265" t="e">
        <f>'Inner Vessel Shell Thickness'!#REF!</f>
        <v>#REF!</v>
      </c>
      <c r="V114" s="5" t="e">
        <f t="shared" si="2"/>
        <v>#REF!</v>
      </c>
      <c r="W114" s="5"/>
      <c r="X114" s="5"/>
      <c r="Y114" s="5"/>
    </row>
    <row r="115" spans="1:25" ht="41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 t="s">
        <v>1435</v>
      </c>
      <c r="S115" s="5"/>
      <c r="T115" s="5"/>
      <c r="U115" s="5" t="e">
        <f>'Inner Vessel Shell Thickness'!#REF!</f>
        <v>#REF!</v>
      </c>
      <c r="V115" s="5"/>
      <c r="W115" s="5"/>
      <c r="X115" s="5"/>
      <c r="Y115" s="5"/>
    </row>
    <row r="116" spans="1:25" x14ac:dyDescent="0.2">
      <c r="A116" s="5" t="s">
        <v>2101</v>
      </c>
      <c r="B116" s="263">
        <f>(1.273*B101/B36^2-B50*(1-0.4*B9))</f>
        <v>42317.239964131739</v>
      </c>
      <c r="C116" s="5" t="s">
        <v>2102</v>
      </c>
      <c r="D116" s="5"/>
      <c r="E116" s="5"/>
      <c r="F116" s="5"/>
      <c r="G116" s="5"/>
      <c r="H116" s="5"/>
      <c r="I116" s="5" t="s">
        <v>2101</v>
      </c>
      <c r="J116" s="263">
        <f>B116</f>
        <v>42317.239964131739</v>
      </c>
      <c r="K116" s="5" t="s">
        <v>2102</v>
      </c>
      <c r="L116" s="5"/>
      <c r="M116" s="5"/>
      <c r="N116" s="5"/>
      <c r="O116" s="5"/>
      <c r="P116" s="5"/>
      <c r="Q116" s="5"/>
      <c r="R116" s="5" t="s">
        <v>2103</v>
      </c>
      <c r="S116" s="5"/>
      <c r="T116" s="5"/>
      <c r="U116" s="5"/>
      <c r="V116" s="5"/>
      <c r="W116" s="5"/>
      <c r="X116" s="5"/>
      <c r="Y116" s="5"/>
    </row>
    <row r="117" spans="1:25" x14ac:dyDescent="0.2">
      <c r="A117" s="5" t="s">
        <v>2104</v>
      </c>
      <c r="B117" s="263">
        <f>B116*PI()*B36/'Main Dimensions Calcs'!D61</f>
        <v>45643.945365752683</v>
      </c>
      <c r="C117" s="5" t="s">
        <v>2105</v>
      </c>
      <c r="D117" s="5"/>
      <c r="E117" s="5"/>
      <c r="F117" s="5"/>
      <c r="G117" s="5"/>
      <c r="H117" s="5"/>
      <c r="I117" s="5" t="s">
        <v>2104</v>
      </c>
      <c r="J117" s="263">
        <f>B117*0.225</f>
        <v>10269.887707294354</v>
      </c>
      <c r="K117" s="64" t="s">
        <v>2106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x14ac:dyDescent="0.2">
      <c r="A118" s="5" t="s">
        <v>2107</v>
      </c>
      <c r="B118" s="263">
        <f>B117/('Main Dimensions Calcs'!D64*'Main Dimensions Calcs'!E64)+'Inner Tank Anchors'!B29*0.7</f>
        <v>49.665106172394658</v>
      </c>
      <c r="C118" s="5" t="s">
        <v>2108</v>
      </c>
      <c r="D118" s="5"/>
      <c r="E118" s="5"/>
      <c r="F118" s="5"/>
      <c r="G118" s="5"/>
      <c r="H118" s="5"/>
      <c r="I118" s="5" t="s">
        <v>2107</v>
      </c>
      <c r="J118" s="686">
        <f>B118*145.04</f>
        <v>7203.4269992441205</v>
      </c>
      <c r="K118" s="695" t="s">
        <v>2109</v>
      </c>
      <c r="L118" s="274"/>
      <c r="M118" s="274"/>
      <c r="N118" s="274"/>
      <c r="O118" s="274"/>
      <c r="P118" s="274"/>
      <c r="Q118" s="5"/>
      <c r="R118" s="5"/>
      <c r="S118" s="5">
        <f>(B50*(1+0.44*B9)+1.273*B101/B36^2)</f>
        <v>78537.914078583795</v>
      </c>
      <c r="T118" s="982" t="s">
        <v>2110</v>
      </c>
      <c r="U118" s="809"/>
      <c r="V118" s="809"/>
      <c r="W118" s="809"/>
      <c r="X118" s="809"/>
      <c r="Y118" s="809"/>
    </row>
    <row r="119" spans="1:25" x14ac:dyDescent="0.2">
      <c r="A119" s="571"/>
      <c r="B119" s="571">
        <f>B26*0.8</f>
        <v>165.44000000000003</v>
      </c>
      <c r="C119" s="571" t="s">
        <v>2111</v>
      </c>
      <c r="D119" s="5"/>
      <c r="E119" s="5"/>
      <c r="F119" s="5"/>
      <c r="G119" s="5"/>
      <c r="H119" s="5"/>
      <c r="I119" s="571"/>
      <c r="J119" s="686">
        <f>B119*145.04</f>
        <v>23995.417600000001</v>
      </c>
      <c r="K119" s="571" t="s">
        <v>2112</v>
      </c>
      <c r="L119" s="5"/>
      <c r="M119" s="5"/>
      <c r="N119" s="5"/>
      <c r="O119" s="5"/>
      <c r="P119" s="5"/>
      <c r="Q119" s="5"/>
      <c r="R119" s="5"/>
      <c r="S119" s="5">
        <f>S118/1000/('Main Dimensions Calcs'!E86*1000)</f>
        <v>8.726434897620422E-2</v>
      </c>
      <c r="T119" s="5" t="s">
        <v>2113</v>
      </c>
      <c r="U119" s="5"/>
      <c r="V119" s="5"/>
      <c r="W119" s="5"/>
      <c r="X119" s="5"/>
      <c r="Y119" s="5"/>
    </row>
    <row r="120" spans="1:25" x14ac:dyDescent="0.2">
      <c r="A120" s="571" t="s">
        <v>2098</v>
      </c>
      <c r="B120" s="693">
        <f>B119/B118</f>
        <v>3.3311113727560397</v>
      </c>
      <c r="C120" s="694" t="str">
        <f>IF(B120&gt;1,"OK","ERROR")</f>
        <v>OK</v>
      </c>
      <c r="D120" s="5"/>
      <c r="E120" s="5"/>
      <c r="F120" s="5"/>
      <c r="G120" s="5"/>
      <c r="H120" s="5"/>
      <c r="I120" s="571" t="s">
        <v>2098</v>
      </c>
      <c r="J120" s="693">
        <f>J119/J118</f>
        <v>3.3311113727560397</v>
      </c>
      <c r="K120" s="694" t="str">
        <f>IF(J120&gt;1,"OK","ERROR")</f>
        <v>OK</v>
      </c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.5" customHeight="1" thickBo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7.25" customHeight="1" thickTop="1" thickBot="1" x14ac:dyDescent="0.3">
      <c r="A124" s="28"/>
      <c r="B124" s="4"/>
      <c r="C124" s="408"/>
      <c r="D124" s="934" t="str">
        <f>'Front Page'!$A$13</f>
        <v>Mechanical  Calculations</v>
      </c>
      <c r="E124" s="842"/>
      <c r="F124" s="842"/>
      <c r="G124" s="842"/>
      <c r="H124" s="859"/>
      <c r="I124" s="28"/>
      <c r="J124" s="4"/>
      <c r="K124" s="408"/>
      <c r="L124" s="934" t="str">
        <f>'Front Page'!$A$13</f>
        <v>Mechanical  Calculations</v>
      </c>
      <c r="M124" s="842"/>
      <c r="N124" s="842"/>
      <c r="O124" s="842"/>
      <c r="P124" s="859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6.5" customHeight="1" thickBot="1" x14ac:dyDescent="0.3">
      <c r="A125" s="6"/>
      <c r="B125" s="5"/>
      <c r="C125" s="14"/>
      <c r="D125" s="984"/>
      <c r="E125" s="831"/>
      <c r="F125" s="831"/>
      <c r="G125" s="831"/>
      <c r="H125" s="854"/>
      <c r="I125" s="6"/>
      <c r="J125" s="5"/>
      <c r="K125" s="14"/>
      <c r="L125" s="984">
        <f>'Front Page'!$A$21</f>
        <v>0</v>
      </c>
      <c r="M125" s="831"/>
      <c r="N125" s="831"/>
      <c r="O125" s="831"/>
      <c r="P125" s="854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6.5" customHeight="1" thickBot="1" x14ac:dyDescent="0.3">
      <c r="A126" s="8"/>
      <c r="B126" s="9"/>
      <c r="C126" s="409"/>
      <c r="D126" s="985" t="s">
        <v>1954</v>
      </c>
      <c r="E126" s="834"/>
      <c r="F126" s="834"/>
      <c r="G126" s="834"/>
      <c r="H126" s="986"/>
      <c r="I126" s="8"/>
      <c r="J126" s="9"/>
      <c r="K126" s="409"/>
      <c r="L126" s="985" t="s">
        <v>1954</v>
      </c>
      <c r="M126" s="834"/>
      <c r="N126" s="834"/>
      <c r="O126" s="834"/>
      <c r="P126" s="986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6.5" customHeight="1" thickTop="1" thickBot="1" x14ac:dyDescent="0.3">
      <c r="A127" s="873"/>
      <c r="B127" s="848"/>
      <c r="C127" s="865"/>
      <c r="D127" s="385" t="str">
        <f>'Front Page'!$D$4</f>
        <v>Doc Nº</v>
      </c>
      <c r="E127" s="980"/>
      <c r="F127" s="843"/>
      <c r="G127" s="980"/>
      <c r="H127" s="843"/>
      <c r="I127" s="873"/>
      <c r="J127" s="848"/>
      <c r="K127" s="865"/>
      <c r="L127" s="385" t="str">
        <f>'Front Page'!$D$4</f>
        <v>Doc Nº</v>
      </c>
      <c r="M127" s="980"/>
      <c r="N127" s="843"/>
      <c r="O127" s="980"/>
      <c r="P127" s="843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 thickBot="1" x14ac:dyDescent="0.3">
      <c r="A128" s="860"/>
      <c r="B128" s="851"/>
      <c r="C128" s="861"/>
      <c r="D128" s="386" t="str">
        <f>'Front Page'!$D$5</f>
        <v>Project</v>
      </c>
      <c r="E128" s="899"/>
      <c r="F128" s="835"/>
      <c r="G128" s="131" t="s">
        <v>5</v>
      </c>
      <c r="H128" s="132"/>
      <c r="I128" s="860"/>
      <c r="J128" s="851"/>
      <c r="K128" s="861"/>
      <c r="L128" s="386" t="str">
        <f>'Front Page'!$D$5</f>
        <v>Project</v>
      </c>
      <c r="M128" s="899"/>
      <c r="N128" s="835"/>
      <c r="O128" s="131" t="s">
        <v>5</v>
      </c>
      <c r="P128" s="427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.5" customHeight="1" thickTop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x14ac:dyDescent="0.2">
      <c r="A130" s="927" t="s">
        <v>2114</v>
      </c>
      <c r="B130" s="809"/>
      <c r="C130" s="809"/>
      <c r="D130" s="809"/>
      <c r="E130" s="809"/>
      <c r="F130" s="809"/>
      <c r="G130" s="809"/>
      <c r="H130" s="809"/>
      <c r="I130" s="927" t="s">
        <v>2114</v>
      </c>
      <c r="J130" s="809"/>
      <c r="K130" s="809"/>
      <c r="L130" s="809"/>
      <c r="M130" s="809"/>
      <c r="N130" s="809"/>
      <c r="O130" s="809"/>
      <c r="P130" s="809"/>
      <c r="Q130" s="5"/>
      <c r="R130" s="5"/>
      <c r="S130" s="5"/>
      <c r="T130" s="5"/>
      <c r="U130" s="5"/>
      <c r="V130" s="5"/>
      <c r="W130" s="5"/>
      <c r="X130" s="5"/>
      <c r="Y130" s="5"/>
    </row>
    <row r="131" spans="1:25" x14ac:dyDescent="0.2">
      <c r="A131" s="809"/>
      <c r="B131" s="809"/>
      <c r="C131" s="809"/>
      <c r="D131" s="809"/>
      <c r="E131" s="809"/>
      <c r="F131" s="809"/>
      <c r="G131" s="809"/>
      <c r="H131" s="809"/>
      <c r="I131" s="809"/>
      <c r="J131" s="809"/>
      <c r="K131" s="809"/>
      <c r="L131" s="809"/>
      <c r="M131" s="809"/>
      <c r="N131" s="809"/>
      <c r="O131" s="809"/>
      <c r="P131" s="809"/>
      <c r="Q131" s="5"/>
      <c r="R131" s="5"/>
      <c r="S131" s="5"/>
      <c r="T131" s="5"/>
      <c r="U131" s="5"/>
      <c r="V131" s="5"/>
      <c r="W131" s="5"/>
      <c r="X131" s="5"/>
      <c r="Y131" s="5"/>
    </row>
    <row r="132" spans="1:25" x14ac:dyDescent="0.2">
      <c r="A132" s="809"/>
      <c r="B132" s="809"/>
      <c r="C132" s="809"/>
      <c r="D132" s="809"/>
      <c r="E132" s="809"/>
      <c r="F132" s="809"/>
      <c r="G132" s="809"/>
      <c r="H132" s="809"/>
      <c r="I132" s="809"/>
      <c r="J132" s="809"/>
      <c r="K132" s="809"/>
      <c r="L132" s="809"/>
      <c r="M132" s="809"/>
      <c r="N132" s="809"/>
      <c r="O132" s="809"/>
      <c r="P132" s="809"/>
      <c r="Q132" s="5"/>
      <c r="R132" s="5"/>
      <c r="S132" s="5"/>
      <c r="T132" s="5"/>
      <c r="U132" s="5"/>
      <c r="V132" s="5"/>
      <c r="W132" s="5"/>
      <c r="X132" s="5"/>
      <c r="Y132" s="5"/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x14ac:dyDescent="0.2">
      <c r="A134" s="14" t="s">
        <v>2115</v>
      </c>
      <c r="B134" s="14" t="s">
        <v>2116</v>
      </c>
      <c r="C134" s="14" t="s">
        <v>2117</v>
      </c>
      <c r="D134" s="14" t="s">
        <v>2118</v>
      </c>
      <c r="E134" s="14" t="s">
        <v>360</v>
      </c>
      <c r="F134" s="14" t="s">
        <v>2119</v>
      </c>
      <c r="G134" s="14" t="s">
        <v>2120</v>
      </c>
      <c r="H134" s="5"/>
      <c r="I134" s="402" t="s">
        <v>2115</v>
      </c>
      <c r="J134" s="402" t="s">
        <v>2116</v>
      </c>
      <c r="K134" s="402" t="s">
        <v>2117</v>
      </c>
      <c r="L134" s="402" t="s">
        <v>2118</v>
      </c>
      <c r="M134" s="402" t="s">
        <v>360</v>
      </c>
      <c r="N134" s="402" t="s">
        <v>2119</v>
      </c>
      <c r="O134" s="402" t="s">
        <v>2120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58.5" customHeight="1" x14ac:dyDescent="0.2">
      <c r="A135" s="242" t="s">
        <v>2121</v>
      </c>
      <c r="B135" s="242" t="s">
        <v>2122</v>
      </c>
      <c r="C135" s="242" t="s">
        <v>2123</v>
      </c>
      <c r="D135" s="242" t="s">
        <v>2124</v>
      </c>
      <c r="E135" s="242" t="s">
        <v>2125</v>
      </c>
      <c r="F135" s="242" t="s">
        <v>2126</v>
      </c>
      <c r="G135" s="14"/>
      <c r="H135" s="5"/>
      <c r="I135" s="512" t="s">
        <v>2121</v>
      </c>
      <c r="J135" s="512" t="s">
        <v>2122</v>
      </c>
      <c r="K135" s="512" t="s">
        <v>2123</v>
      </c>
      <c r="L135" s="512" t="s">
        <v>2124</v>
      </c>
      <c r="M135" s="512" t="s">
        <v>2125</v>
      </c>
      <c r="N135" s="512" t="s">
        <v>2126</v>
      </c>
      <c r="O135" s="402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48" customHeight="1" x14ac:dyDescent="0.2">
      <c r="A136" s="543" t="s">
        <v>2127</v>
      </c>
      <c r="B136" s="543" t="s">
        <v>2128</v>
      </c>
      <c r="C136" s="543" t="s">
        <v>2129</v>
      </c>
      <c r="D136" s="543" t="s">
        <v>2130</v>
      </c>
      <c r="E136" s="543" t="s">
        <v>2131</v>
      </c>
      <c r="F136" s="543" t="s">
        <v>2132</v>
      </c>
      <c r="G136" s="14"/>
      <c r="H136" s="5"/>
      <c r="I136" s="626" t="s">
        <v>2127</v>
      </c>
      <c r="J136" s="626" t="s">
        <v>2128</v>
      </c>
      <c r="K136" s="626" t="s">
        <v>2129</v>
      </c>
      <c r="L136" s="626" t="s">
        <v>2130</v>
      </c>
      <c r="M136" s="626" t="s">
        <v>2131</v>
      </c>
      <c r="N136" s="626" t="s">
        <v>2132</v>
      </c>
      <c r="O136" s="402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.5" customHeight="1" x14ac:dyDescent="0.2">
      <c r="A137" s="218" t="s">
        <v>940</v>
      </c>
      <c r="B137" s="218" t="s">
        <v>940</v>
      </c>
      <c r="C137" s="218" t="s">
        <v>940</v>
      </c>
      <c r="D137" s="218" t="s">
        <v>247</v>
      </c>
      <c r="E137" s="218" t="s">
        <v>247</v>
      </c>
      <c r="F137" s="218" t="s">
        <v>941</v>
      </c>
      <c r="G137" s="14"/>
      <c r="H137" s="5"/>
      <c r="I137" s="508" t="s">
        <v>940</v>
      </c>
      <c r="J137" s="508" t="s">
        <v>940</v>
      </c>
      <c r="K137" s="508" t="s">
        <v>940</v>
      </c>
      <c r="L137" s="491" t="s">
        <v>248</v>
      </c>
      <c r="M137" s="491" t="s">
        <v>248</v>
      </c>
      <c r="N137" s="491" t="s">
        <v>926</v>
      </c>
      <c r="O137" s="402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x14ac:dyDescent="0.2">
      <c r="A138" s="417">
        <f t="shared" ref="A138:A145" si="3">IF(((D138/1000)&lt;($B$36*0.75)),(5.22*$B$56*$B$31*$B$36^2*(D138/(0.75*$B$36)-0.5*(D138*0.001/(0.75*$B$36))^2)), (2.6*$B$56*$B$31*$B$36^2))</f>
        <v>1133700.7996728001</v>
      </c>
      <c r="B138" s="417">
        <f t="shared" ref="B138:B145" si="4">1.85*$B$57*$B$31*$B$36^2*COSH(3.68*($B$37-D138/1000)/$B$36)/(COSH(3.68*$B$37/$B$36))</f>
        <v>66.927252498518129</v>
      </c>
      <c r="C138" s="487">
        <f>'Inner Vessel Shell Thickness'!C58</f>
        <v>506708.91200000001</v>
      </c>
      <c r="D138" s="696">
        <f>'Main Dimensions Calcs'!D51</f>
        <v>4350</v>
      </c>
      <c r="E138" s="696">
        <f>'Main Dimensions Calcs'!H7</f>
        <v>8</v>
      </c>
      <c r="F138" s="417">
        <f t="shared" ref="F138:F145" si="5">(C138+SQRT(A138^2+B138^2+(C138*$B$9)^2))/E138/1000</f>
        <v>211.91995880245852</v>
      </c>
      <c r="G138" s="570">
        <f>'Allowable Stresses'!$G$31:$H$31*1.33/F138</f>
        <v>0.97358641908154364</v>
      </c>
      <c r="H138" s="5"/>
      <c r="I138" s="437">
        <f t="shared" ref="I138:J145" si="6">A138</f>
        <v>1133700.7996728001</v>
      </c>
      <c r="J138" s="437">
        <f t="shared" si="6"/>
        <v>66.927252498518129</v>
      </c>
      <c r="K138" s="697">
        <f>'Inner Vessel Shell Thickness'!K58</f>
        <v>506708.91200000001</v>
      </c>
      <c r="L138" s="698">
        <f t="shared" ref="L138:M145" si="7">D138/25.4</f>
        <v>171.25984251968504</v>
      </c>
      <c r="M138" s="698">
        <f t="shared" si="7"/>
        <v>0.31496062992125984</v>
      </c>
      <c r="N138" s="699">
        <f t="shared" ref="N138:N145" si="8">F138*145.04</f>
        <v>30736.870824708581</v>
      </c>
      <c r="O138" s="700">
        <f t="shared" ref="O138:O145" si="9">G138</f>
        <v>0.97358641908154364</v>
      </c>
      <c r="P138" s="5" t="str">
        <f t="shared" ref="P138:P145" si="10">IF(O138&gt;1,"OK","Error")</f>
        <v>Error</v>
      </c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2.75" customHeight="1" x14ac:dyDescent="0.2">
      <c r="A139" s="417">
        <f t="shared" si="3"/>
        <v>612498.69964080013</v>
      </c>
      <c r="B139" s="417">
        <f t="shared" si="4"/>
        <v>71.244521364902795</v>
      </c>
      <c r="C139" s="487">
        <f>'Inner Vessel Shell Thickness'!C59</f>
        <v>343589.87200000003</v>
      </c>
      <c r="D139" s="696">
        <f>D138-'Main Dimensions Calcs'!I7</f>
        <v>2350</v>
      </c>
      <c r="E139" s="696">
        <f>'Main Dimensions Calcs'!H8</f>
        <v>8</v>
      </c>
      <c r="F139" s="417">
        <f t="shared" si="5"/>
        <v>125.28099259641091</v>
      </c>
      <c r="G139" s="570">
        <f>'Allowable Stresses'!$G$31:$H$31*1.33/F139</f>
        <v>1.6468770684716354</v>
      </c>
      <c r="H139" s="5"/>
      <c r="I139" s="437">
        <f t="shared" si="6"/>
        <v>612498.69964080013</v>
      </c>
      <c r="J139" s="437">
        <f t="shared" si="6"/>
        <v>71.244521364902795</v>
      </c>
      <c r="K139" s="697">
        <f>'Inner Vessel Shell Thickness'!K59</f>
        <v>343589.87200000003</v>
      </c>
      <c r="L139" s="698">
        <f t="shared" si="7"/>
        <v>92.519685039370088</v>
      </c>
      <c r="M139" s="698">
        <f t="shared" si="7"/>
        <v>0.31496062992125984</v>
      </c>
      <c r="N139" s="699">
        <f t="shared" si="8"/>
        <v>18170.755166183437</v>
      </c>
      <c r="O139" s="700">
        <f t="shared" si="9"/>
        <v>1.6468770684716354</v>
      </c>
      <c r="P139" s="5" t="str">
        <f t="shared" si="10"/>
        <v>OK</v>
      </c>
      <c r="Q139" s="5"/>
      <c r="R139" s="5"/>
      <c r="S139" s="5"/>
      <c r="T139" s="5"/>
      <c r="U139" s="5"/>
      <c r="V139" s="5"/>
      <c r="W139" s="5"/>
      <c r="X139" s="5"/>
      <c r="Y139" s="5"/>
    </row>
    <row r="140" spans="1:25" x14ac:dyDescent="0.2">
      <c r="A140" s="417">
        <f t="shared" si="3"/>
        <v>91229.115448800003</v>
      </c>
      <c r="B140" s="417">
        <f t="shared" si="4"/>
        <v>84.753315133523131</v>
      </c>
      <c r="C140" s="487">
        <f>'Inner Vessel Shell Thickness'!C60</f>
        <v>180470.83199999997</v>
      </c>
      <c r="D140" s="696">
        <f>D139-'Main Dimensions Calcs'!I8</f>
        <v>350</v>
      </c>
      <c r="E140" s="696">
        <f>'Main Dimensions Calcs'!H9</f>
        <v>8</v>
      </c>
      <c r="F140" s="417">
        <f t="shared" si="5"/>
        <v>42.128730552331149</v>
      </c>
      <c r="G140" s="570">
        <f>'Allowable Stresses'!$G$31:$H$31*1.33/F140</f>
        <v>4.8974272691674354</v>
      </c>
      <c r="H140" s="5"/>
      <c r="I140" s="437">
        <f t="shared" si="6"/>
        <v>91229.115448800003</v>
      </c>
      <c r="J140" s="437">
        <f t="shared" si="6"/>
        <v>84.753315133523131</v>
      </c>
      <c r="K140" s="697">
        <f>'Inner Vessel Shell Thickness'!K60</f>
        <v>180470.83199999997</v>
      </c>
      <c r="L140" s="698">
        <f t="shared" si="7"/>
        <v>13.779527559055119</v>
      </c>
      <c r="M140" s="698">
        <f t="shared" si="7"/>
        <v>0.31496062992125984</v>
      </c>
      <c r="N140" s="699">
        <f t="shared" si="8"/>
        <v>6110.3510793101095</v>
      </c>
      <c r="O140" s="700">
        <f t="shared" si="9"/>
        <v>4.8974272691674354</v>
      </c>
      <c r="P140" s="5" t="str">
        <f t="shared" si="10"/>
        <v>OK</v>
      </c>
      <c r="Q140" s="5"/>
      <c r="R140" s="5"/>
      <c r="S140" s="5"/>
      <c r="T140" s="5"/>
      <c r="U140" s="5"/>
      <c r="V140" s="5"/>
      <c r="W140" s="5"/>
      <c r="X140" s="5"/>
      <c r="Y140" s="5"/>
    </row>
    <row r="141" spans="1:25" x14ac:dyDescent="0.2">
      <c r="A141" s="417">
        <f t="shared" si="3"/>
        <v>-430107.95290320006</v>
      </c>
      <c r="B141" s="417">
        <f t="shared" si="4"/>
        <v>109.19645433211461</v>
      </c>
      <c r="C141" s="487">
        <f>'Inner Vessel Shell Thickness'!C61</f>
        <v>151925</v>
      </c>
      <c r="D141" s="696">
        <f>D140-'Main Dimensions Calcs'!I9</f>
        <v>-1650</v>
      </c>
      <c r="E141" s="696">
        <f>'Main Dimensions Calcs'!H10</f>
        <v>8</v>
      </c>
      <c r="F141" s="417">
        <f t="shared" si="5"/>
        <v>74.396062360116758</v>
      </c>
      <c r="G141" s="570">
        <f>'Allowable Stresses'!$G$31:$H$31*1.33/F141</f>
        <v>2.7732972320992344</v>
      </c>
      <c r="H141" s="5"/>
      <c r="I141" s="437">
        <f t="shared" si="6"/>
        <v>-430107.95290320006</v>
      </c>
      <c r="J141" s="437">
        <f t="shared" si="6"/>
        <v>109.19645433211461</v>
      </c>
      <c r="K141" s="697">
        <f>'Inner Vessel Shell Thickness'!K61</f>
        <v>151925</v>
      </c>
      <c r="L141" s="698">
        <f t="shared" si="7"/>
        <v>-64.960629921259851</v>
      </c>
      <c r="M141" s="698">
        <f t="shared" si="7"/>
        <v>0.31496062992125984</v>
      </c>
      <c r="N141" s="699">
        <f t="shared" si="8"/>
        <v>10790.404884711334</v>
      </c>
      <c r="O141" s="700">
        <f t="shared" si="9"/>
        <v>2.7732972320992344</v>
      </c>
      <c r="P141" s="5" t="str">
        <f t="shared" si="10"/>
        <v>OK</v>
      </c>
      <c r="Q141" s="5"/>
      <c r="R141" s="5"/>
      <c r="S141" s="5"/>
      <c r="T141" s="5"/>
      <c r="U141" s="5"/>
      <c r="V141" s="5"/>
      <c r="W141" s="5"/>
      <c r="X141" s="5"/>
      <c r="Y141" s="5"/>
    </row>
    <row r="142" spans="1:25" x14ac:dyDescent="0.2">
      <c r="A142" s="417">
        <f t="shared" si="3"/>
        <v>-821155.04064720008</v>
      </c>
      <c r="B142" s="417">
        <f t="shared" si="4"/>
        <v>136.53823872601239</v>
      </c>
      <c r="C142" s="487">
        <f>'Inner Vessel Shell Thickness'!C62</f>
        <v>151925</v>
      </c>
      <c r="D142" s="696">
        <f>D141-'Main Dimensions Calcs'!I10</f>
        <v>-3150</v>
      </c>
      <c r="E142" s="696">
        <f>'Main Dimensions Calcs'!H11</f>
        <v>0</v>
      </c>
      <c r="F142" s="417" t="e">
        <f t="shared" si="5"/>
        <v>#DIV/0!</v>
      </c>
      <c r="G142" s="570" t="e">
        <f>'Allowable Stresses'!$G$31:$H$31*1.33/F142</f>
        <v>#DIV/0!</v>
      </c>
      <c r="H142" s="5"/>
      <c r="I142" s="437">
        <f t="shared" si="6"/>
        <v>-821155.04064720008</v>
      </c>
      <c r="J142" s="437">
        <f t="shared" si="6"/>
        <v>136.53823872601239</v>
      </c>
      <c r="K142" s="697">
        <f>'Inner Vessel Shell Thickness'!K62</f>
        <v>151925</v>
      </c>
      <c r="L142" s="698">
        <f t="shared" si="7"/>
        <v>-124.01574803149607</v>
      </c>
      <c r="M142" s="698">
        <f t="shared" si="7"/>
        <v>0</v>
      </c>
      <c r="N142" s="699" t="e">
        <f t="shared" si="8"/>
        <v>#DIV/0!</v>
      </c>
      <c r="O142" s="700" t="e">
        <f t="shared" si="9"/>
        <v>#DIV/0!</v>
      </c>
      <c r="P142" s="5" t="e">
        <f t="shared" si="10"/>
        <v>#DIV/0!</v>
      </c>
      <c r="Q142" s="5"/>
      <c r="R142" s="5"/>
      <c r="S142" s="5"/>
      <c r="T142" s="5"/>
      <c r="U142" s="5"/>
      <c r="V142" s="5"/>
      <c r="W142" s="5"/>
      <c r="X142" s="5"/>
      <c r="Y142" s="5"/>
    </row>
    <row r="143" spans="1:25" x14ac:dyDescent="0.2">
      <c r="A143" s="417">
        <f t="shared" si="3"/>
        <v>-821155.04064720008</v>
      </c>
      <c r="B143" s="417">
        <f t="shared" si="4"/>
        <v>136.53823872601239</v>
      </c>
      <c r="C143" s="487">
        <f>'Inner Vessel Shell Thickness'!C63</f>
        <v>151925</v>
      </c>
      <c r="D143" s="696">
        <f>D142-'Main Dimensions Calcs'!I11</f>
        <v>-3150</v>
      </c>
      <c r="E143" s="696">
        <f>'Main Dimensions Calcs'!H12</f>
        <v>0</v>
      </c>
      <c r="F143" s="417" t="e">
        <f t="shared" si="5"/>
        <v>#DIV/0!</v>
      </c>
      <c r="G143" s="570" t="e">
        <f>'Allowable Stresses'!$G$31:$H$31*1.33/F143</f>
        <v>#DIV/0!</v>
      </c>
      <c r="H143" s="5"/>
      <c r="I143" s="437">
        <f t="shared" si="6"/>
        <v>-821155.04064720008</v>
      </c>
      <c r="J143" s="437">
        <f t="shared" si="6"/>
        <v>136.53823872601239</v>
      </c>
      <c r="K143" s="697">
        <f>'Inner Vessel Shell Thickness'!K63</f>
        <v>151925</v>
      </c>
      <c r="L143" s="698">
        <f t="shared" si="7"/>
        <v>-124.01574803149607</v>
      </c>
      <c r="M143" s="698">
        <f t="shared" si="7"/>
        <v>0</v>
      </c>
      <c r="N143" s="699" t="e">
        <f t="shared" si="8"/>
        <v>#DIV/0!</v>
      </c>
      <c r="O143" s="700" t="e">
        <f t="shared" si="9"/>
        <v>#DIV/0!</v>
      </c>
      <c r="P143" s="5" t="e">
        <f t="shared" si="10"/>
        <v>#DIV/0!</v>
      </c>
      <c r="Q143" s="5"/>
      <c r="R143" s="5"/>
      <c r="S143" s="5"/>
      <c r="T143" s="5"/>
      <c r="U143" s="5"/>
      <c r="V143" s="5"/>
      <c r="W143" s="5"/>
      <c r="X143" s="5"/>
      <c r="Y143" s="5"/>
    </row>
    <row r="144" spans="1:25" x14ac:dyDescent="0.2">
      <c r="A144" s="417">
        <f t="shared" si="3"/>
        <v>-821155.04064720008</v>
      </c>
      <c r="B144" s="417">
        <f t="shared" si="4"/>
        <v>136.53823872601239</v>
      </c>
      <c r="C144" s="487">
        <f>'Inner Vessel Shell Thickness'!C64</f>
        <v>151925</v>
      </c>
      <c r="D144" s="696">
        <f>D143-'Main Dimensions Calcs'!I12</f>
        <v>-3150</v>
      </c>
      <c r="E144" s="696">
        <f>'Main Dimensions Calcs'!H13</f>
        <v>0</v>
      </c>
      <c r="F144" s="417" t="e">
        <f t="shared" si="5"/>
        <v>#DIV/0!</v>
      </c>
      <c r="G144" s="570" t="e">
        <f>'Allowable Stresses'!$G$31:$H$31*1.33/F144</f>
        <v>#DIV/0!</v>
      </c>
      <c r="H144" s="5"/>
      <c r="I144" s="437">
        <f t="shared" si="6"/>
        <v>-821155.04064720008</v>
      </c>
      <c r="J144" s="437">
        <f t="shared" si="6"/>
        <v>136.53823872601239</v>
      </c>
      <c r="K144" s="697">
        <f>'Inner Vessel Shell Thickness'!K64</f>
        <v>151925</v>
      </c>
      <c r="L144" s="698">
        <f t="shared" si="7"/>
        <v>-124.01574803149607</v>
      </c>
      <c r="M144" s="698">
        <f t="shared" si="7"/>
        <v>0</v>
      </c>
      <c r="N144" s="699" t="e">
        <f t="shared" si="8"/>
        <v>#DIV/0!</v>
      </c>
      <c r="O144" s="700" t="e">
        <f t="shared" si="9"/>
        <v>#DIV/0!</v>
      </c>
      <c r="P144" s="5" t="e">
        <f t="shared" si="10"/>
        <v>#DIV/0!</v>
      </c>
      <c r="Q144" s="5"/>
      <c r="R144" s="5"/>
      <c r="S144" s="5"/>
      <c r="T144" s="5"/>
      <c r="U144" s="5"/>
      <c r="V144" s="5"/>
      <c r="W144" s="5"/>
      <c r="X144" s="5"/>
      <c r="Y144" s="5"/>
    </row>
    <row r="145" spans="1:25" x14ac:dyDescent="0.2">
      <c r="A145" s="417">
        <f t="shared" si="3"/>
        <v>-821155.04064720008</v>
      </c>
      <c r="B145" s="417">
        <f t="shared" si="4"/>
        <v>136.53823872601239</v>
      </c>
      <c r="C145" s="487">
        <f>'Inner Vessel Shell Thickness'!C65</f>
        <v>151925</v>
      </c>
      <c r="D145" s="696">
        <f>D144-'Main Dimensions Calcs'!I13</f>
        <v>-3150</v>
      </c>
      <c r="E145" s="696">
        <f>'Main Dimensions Calcs'!H14</f>
        <v>0</v>
      </c>
      <c r="F145" s="417" t="e">
        <f t="shared" si="5"/>
        <v>#DIV/0!</v>
      </c>
      <c r="G145" s="570" t="e">
        <f>'Allowable Stresses'!$G$31:$H$31*1.33/F145</f>
        <v>#DIV/0!</v>
      </c>
      <c r="H145" s="5"/>
      <c r="I145" s="437">
        <f t="shared" si="6"/>
        <v>-821155.04064720008</v>
      </c>
      <c r="J145" s="437">
        <f t="shared" si="6"/>
        <v>136.53823872601239</v>
      </c>
      <c r="K145" s="697">
        <f>'Inner Vessel Shell Thickness'!K65</f>
        <v>151925</v>
      </c>
      <c r="L145" s="698">
        <f t="shared" si="7"/>
        <v>-124.01574803149607</v>
      </c>
      <c r="M145" s="698">
        <f t="shared" si="7"/>
        <v>0</v>
      </c>
      <c r="N145" s="699" t="e">
        <f t="shared" si="8"/>
        <v>#DIV/0!</v>
      </c>
      <c r="O145" s="700" t="e">
        <f t="shared" si="9"/>
        <v>#DIV/0!</v>
      </c>
      <c r="P145" s="5" t="e">
        <f t="shared" si="10"/>
        <v>#DIV/0!</v>
      </c>
      <c r="Q145" s="5"/>
      <c r="R145" s="5"/>
      <c r="S145" s="5"/>
      <c r="T145" s="5"/>
      <c r="U145" s="5"/>
      <c r="V145" s="5"/>
      <c r="W145" s="5"/>
      <c r="X145" s="5"/>
      <c r="Y145" s="5"/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0.25" customHeight="1" x14ac:dyDescent="0.3">
      <c r="A147" s="63" t="s">
        <v>2133</v>
      </c>
      <c r="B147" s="5"/>
      <c r="C147" s="5"/>
      <c r="D147" s="5"/>
      <c r="E147" s="5"/>
      <c r="F147" s="5"/>
      <c r="G147" s="5"/>
      <c r="H147" s="5"/>
      <c r="I147" s="63" t="s">
        <v>2133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x14ac:dyDescent="0.2">
      <c r="A149" s="5" t="s">
        <v>2134</v>
      </c>
      <c r="B149" s="265">
        <f>0.42*B36*B58</f>
        <v>1.2026280000000003</v>
      </c>
      <c r="C149" s="5" t="s">
        <v>2135</v>
      </c>
      <c r="D149" s="5"/>
      <c r="E149" s="5"/>
      <c r="F149" s="5"/>
      <c r="G149" s="5"/>
      <c r="H149" s="5"/>
      <c r="I149" s="5" t="s">
        <v>2134</v>
      </c>
      <c r="J149" s="635">
        <f>B149*1000/25.4</f>
        <v>47.347559055118118</v>
      </c>
      <c r="K149" s="64" t="s">
        <v>2136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x14ac:dyDescent="0.2">
      <c r="A150" s="5" t="s">
        <v>2137</v>
      </c>
      <c r="B150" s="265">
        <f>B149+0.3</f>
        <v>1.5026280000000003</v>
      </c>
      <c r="C150" s="5" t="s">
        <v>2138</v>
      </c>
      <c r="D150" s="5"/>
      <c r="E150" s="5"/>
      <c r="F150" s="5"/>
      <c r="G150" s="5"/>
      <c r="H150" s="5"/>
      <c r="I150" s="5" t="s">
        <v>2137</v>
      </c>
      <c r="J150" s="635">
        <f>B150*1000/25.4</f>
        <v>59.15858267716537</v>
      </c>
      <c r="K150" s="64" t="s">
        <v>2139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x14ac:dyDescent="0.2">
      <c r="A151" s="571" t="s">
        <v>2140</v>
      </c>
      <c r="B151" s="571">
        <f>('Main Dimensions Calcs'!D50-'Main Dimensions Calcs'!D51)/1000</f>
        <v>2.85</v>
      </c>
      <c r="C151" s="571" t="s">
        <v>2141</v>
      </c>
      <c r="D151" s="571"/>
      <c r="E151" s="571"/>
      <c r="F151" s="571"/>
      <c r="G151" s="571"/>
      <c r="H151" s="571"/>
      <c r="I151" s="571" t="s">
        <v>2140</v>
      </c>
      <c r="J151" s="635">
        <f>B151*1000/25.4</f>
        <v>112.20472440944883</v>
      </c>
      <c r="K151" s="571" t="s">
        <v>2142</v>
      </c>
      <c r="L151" s="571"/>
      <c r="M151" s="571"/>
      <c r="N151" s="571"/>
      <c r="O151" s="571"/>
      <c r="P151" s="571"/>
      <c r="Q151" s="5"/>
      <c r="R151" s="5"/>
      <c r="S151" s="5"/>
      <c r="T151" s="5"/>
      <c r="U151" s="5"/>
      <c r="V151" s="5"/>
      <c r="W151" s="5"/>
      <c r="X151" s="5"/>
      <c r="Y151" s="5"/>
    </row>
    <row r="152" spans="1:25" x14ac:dyDescent="0.2">
      <c r="A152" s="571"/>
      <c r="B152" s="693">
        <f>B151/B150</f>
        <v>1.8966770218577049</v>
      </c>
      <c r="C152" s="694" t="str">
        <f>IF(B152&gt;1,"OK","ERROR")</f>
        <v>OK</v>
      </c>
      <c r="D152" s="571" t="s">
        <v>2143</v>
      </c>
      <c r="E152" s="571"/>
      <c r="F152" s="571"/>
      <c r="G152" s="571"/>
      <c r="H152" s="571"/>
      <c r="I152" s="571"/>
      <c r="J152" s="701">
        <f>J151/J150</f>
        <v>1.8966770218577049</v>
      </c>
      <c r="K152" s="694" t="str">
        <f>IF(J152&gt;1,"OK","ERROR")</f>
        <v>OK</v>
      </c>
      <c r="L152" s="571" t="s">
        <v>2143</v>
      </c>
      <c r="M152" s="571"/>
      <c r="N152" s="571"/>
      <c r="O152" s="571"/>
      <c r="P152" s="571"/>
      <c r="Q152" s="5"/>
      <c r="R152" s="5"/>
      <c r="S152" s="5"/>
      <c r="T152" s="5"/>
      <c r="U152" s="5" t="s">
        <v>196</v>
      </c>
      <c r="V152" s="5">
        <f>V153-V154-V155/2</f>
        <v>290</v>
      </c>
      <c r="W152" s="5"/>
      <c r="X152" s="5"/>
      <c r="Y152" s="5"/>
    </row>
    <row r="153" spans="1:25" x14ac:dyDescent="0.2">
      <c r="A153" s="571"/>
      <c r="B153" s="571"/>
      <c r="C153" s="571"/>
      <c r="D153" s="571"/>
      <c r="E153" s="571"/>
      <c r="F153" s="571"/>
      <c r="G153" s="571"/>
      <c r="H153" s="571"/>
      <c r="I153" s="571"/>
      <c r="J153" s="571"/>
      <c r="K153" s="571"/>
      <c r="L153" s="571"/>
      <c r="M153" s="571"/>
      <c r="N153" s="571"/>
      <c r="O153" s="571"/>
      <c r="P153" s="571"/>
      <c r="Q153" s="5"/>
      <c r="R153" s="5"/>
      <c r="S153" s="5"/>
      <c r="T153" s="5"/>
      <c r="U153" s="5" t="s">
        <v>1427</v>
      </c>
      <c r="V153" s="5">
        <f>'Main Dimensions Calcs'!E86*1000</f>
        <v>900</v>
      </c>
      <c r="W153" s="5"/>
      <c r="X153" s="5"/>
      <c r="Y153" s="5"/>
    </row>
    <row r="154" spans="1:25" x14ac:dyDescent="0.2">
      <c r="A154" s="571"/>
      <c r="B154" s="571"/>
      <c r="C154" s="571"/>
      <c r="D154" s="571"/>
      <c r="E154" s="571"/>
      <c r="F154" s="571"/>
      <c r="G154" s="571"/>
      <c r="H154" s="571"/>
      <c r="I154" s="571"/>
      <c r="J154" s="571"/>
      <c r="K154" s="571"/>
      <c r="L154" s="571"/>
      <c r="M154" s="571"/>
      <c r="N154" s="571"/>
      <c r="O154" s="571"/>
      <c r="P154" s="571"/>
      <c r="Q154" s="5"/>
      <c r="R154" s="5"/>
      <c r="S154" s="5"/>
      <c r="T154" s="5"/>
      <c r="U154" s="5" t="s">
        <v>2144</v>
      </c>
      <c r="V154" s="5">
        <f>'Main Dimensions Calcs'!E87</f>
        <v>320</v>
      </c>
      <c r="W154" s="5"/>
      <c r="X154" s="5"/>
      <c r="Y154" s="5"/>
    </row>
    <row r="155" spans="1:25" x14ac:dyDescent="0.2">
      <c r="A155" s="571"/>
      <c r="B155" s="571"/>
      <c r="C155" s="571"/>
      <c r="D155" s="571"/>
      <c r="E155" s="571"/>
      <c r="F155" s="571"/>
      <c r="G155" s="571"/>
      <c r="H155" s="571"/>
      <c r="I155" s="571"/>
      <c r="J155" s="571"/>
      <c r="K155" s="571"/>
      <c r="L155" s="571"/>
      <c r="M155" s="571"/>
      <c r="N155" s="571"/>
      <c r="O155" s="571"/>
      <c r="P155" s="571"/>
      <c r="Q155" s="5"/>
      <c r="R155" s="5"/>
      <c r="S155" s="5"/>
      <c r="T155" s="5"/>
      <c r="U155" s="5" t="s">
        <v>2145</v>
      </c>
      <c r="V155" s="5">
        <f>V153-V154</f>
        <v>580</v>
      </c>
      <c r="W155" s="5"/>
      <c r="X155" s="5"/>
      <c r="Y155" s="5"/>
    </row>
    <row r="156" spans="1:25" x14ac:dyDescent="0.2">
      <c r="A156" s="571"/>
      <c r="B156" s="571"/>
      <c r="C156" s="571"/>
      <c r="D156" s="571"/>
      <c r="E156" s="571"/>
      <c r="F156" s="571"/>
      <c r="G156" s="571"/>
      <c r="H156" s="571"/>
      <c r="I156" s="571"/>
      <c r="J156" s="571"/>
      <c r="K156" s="571"/>
      <c r="L156" s="571"/>
      <c r="M156" s="571"/>
      <c r="N156" s="571"/>
      <c r="O156" s="571"/>
      <c r="P156" s="571"/>
      <c r="Q156" s="5"/>
      <c r="R156" s="5"/>
      <c r="S156" s="5"/>
      <c r="T156" s="5"/>
      <c r="U156" s="5" t="s">
        <v>2146</v>
      </c>
      <c r="V156" s="5">
        <f>'Loads on slab'!B24*'Loads on slab'!B25/'Loads on slab'!B11*9.8/1000000</f>
        <v>3.4445039999999996E-2</v>
      </c>
      <c r="W156" s="5"/>
      <c r="X156" s="5"/>
      <c r="Y156" s="5"/>
    </row>
    <row r="157" spans="1:25" ht="13.5" customHeight="1" thickBot="1" x14ac:dyDescent="0.25">
      <c r="A157" s="571"/>
      <c r="B157" s="571"/>
      <c r="C157" s="571"/>
      <c r="D157" s="571"/>
      <c r="E157" s="571"/>
      <c r="F157" s="571"/>
      <c r="G157" s="571"/>
      <c r="H157" s="571"/>
      <c r="I157" s="571"/>
      <c r="J157" s="571"/>
      <c r="K157" s="571"/>
      <c r="L157" s="571"/>
      <c r="M157" s="571"/>
      <c r="N157" s="571"/>
      <c r="O157" s="571"/>
      <c r="P157" s="571"/>
      <c r="Q157" s="5"/>
      <c r="R157" s="5"/>
      <c r="S157" s="5"/>
      <c r="T157" s="5"/>
      <c r="U157" s="5" t="s">
        <v>2101</v>
      </c>
      <c r="V157" s="265">
        <f>B106*B30</f>
        <v>78.034303482968198</v>
      </c>
      <c r="W157" s="5"/>
      <c r="X157" s="5"/>
      <c r="Y157" s="5"/>
    </row>
    <row r="158" spans="1:25" ht="17.25" customHeight="1" thickTop="1" thickBot="1" x14ac:dyDescent="0.3">
      <c r="A158" s="28"/>
      <c r="B158" s="4"/>
      <c r="C158" s="408"/>
      <c r="D158" s="934" t="str">
        <f>'Front Page'!$A$13</f>
        <v>Mechanical  Calculations</v>
      </c>
      <c r="E158" s="842"/>
      <c r="F158" s="842"/>
      <c r="G158" s="842"/>
      <c r="H158" s="859"/>
      <c r="I158" s="28"/>
      <c r="J158" s="4"/>
      <c r="K158" s="408"/>
      <c r="L158" s="934" t="str">
        <f>'Front Page'!$A$13</f>
        <v>Mechanical  Calculations</v>
      </c>
      <c r="M158" s="842"/>
      <c r="N158" s="842"/>
      <c r="O158" s="842"/>
      <c r="P158" s="859"/>
      <c r="Q158" s="5"/>
      <c r="R158" s="5"/>
      <c r="S158" s="5"/>
      <c r="T158" s="5"/>
      <c r="U158" s="5" t="s">
        <v>1119</v>
      </c>
      <c r="V158" s="5">
        <f>V155*V156</f>
        <v>19.978123199999999</v>
      </c>
      <c r="W158" s="5" t="s">
        <v>2147</v>
      </c>
      <c r="X158" s="5"/>
      <c r="Y158" s="5"/>
    </row>
    <row r="159" spans="1:25" ht="16.5" customHeight="1" thickBot="1" x14ac:dyDescent="0.3">
      <c r="A159" s="6"/>
      <c r="B159" s="5"/>
      <c r="C159" s="14"/>
      <c r="D159" s="984"/>
      <c r="E159" s="831"/>
      <c r="F159" s="831"/>
      <c r="G159" s="831"/>
      <c r="H159" s="854"/>
      <c r="I159" s="6"/>
      <c r="J159" s="5"/>
      <c r="K159" s="14"/>
      <c r="L159" s="984"/>
      <c r="M159" s="831"/>
      <c r="N159" s="831"/>
      <c r="O159" s="831"/>
      <c r="P159" s="854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6.5" customHeight="1" thickBot="1" x14ac:dyDescent="0.3">
      <c r="A160" s="8"/>
      <c r="B160" s="9"/>
      <c r="C160" s="409"/>
      <c r="D160" s="985" t="s">
        <v>1954</v>
      </c>
      <c r="E160" s="834"/>
      <c r="F160" s="834"/>
      <c r="G160" s="834"/>
      <c r="H160" s="986"/>
      <c r="I160" s="8"/>
      <c r="J160" s="9"/>
      <c r="K160" s="409"/>
      <c r="L160" s="985" t="s">
        <v>1954</v>
      </c>
      <c r="M160" s="834"/>
      <c r="N160" s="834"/>
      <c r="O160" s="834"/>
      <c r="P160" s="986"/>
      <c r="Q160" s="5"/>
      <c r="R160" s="5"/>
      <c r="S160" s="5"/>
      <c r="T160" s="5"/>
      <c r="U160" s="5" t="s">
        <v>2148</v>
      </c>
      <c r="V160" s="265">
        <f>V158+V157</f>
        <v>98.012426682968197</v>
      </c>
      <c r="W160" s="5" t="s">
        <v>2149</v>
      </c>
      <c r="X160" s="5"/>
      <c r="Y160" s="5"/>
    </row>
    <row r="161" spans="1:25" ht="16.5" customHeight="1" thickTop="1" thickBot="1" x14ac:dyDescent="0.3">
      <c r="A161" s="873"/>
      <c r="B161" s="848"/>
      <c r="C161" s="865"/>
      <c r="D161" s="385" t="str">
        <f>'Front Page'!$D$4</f>
        <v>Doc Nº</v>
      </c>
      <c r="E161" s="980"/>
      <c r="F161" s="843"/>
      <c r="G161" s="980"/>
      <c r="H161" s="843"/>
      <c r="I161" s="873"/>
      <c r="J161" s="848"/>
      <c r="K161" s="865"/>
      <c r="L161" s="385" t="str">
        <f>'Front Page'!$D$4</f>
        <v>Doc Nº</v>
      </c>
      <c r="M161" s="980"/>
      <c r="N161" s="843"/>
      <c r="O161" s="980"/>
      <c r="P161" s="843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75" customHeight="1" thickBot="1" x14ac:dyDescent="0.3">
      <c r="A162" s="860"/>
      <c r="B162" s="851"/>
      <c r="C162" s="861"/>
      <c r="D162" s="386" t="str">
        <f>'Front Page'!$D$5</f>
        <v>Project</v>
      </c>
      <c r="E162" s="899"/>
      <c r="F162" s="835"/>
      <c r="G162" s="131" t="s">
        <v>5</v>
      </c>
      <c r="H162" s="132"/>
      <c r="I162" s="860"/>
      <c r="J162" s="851"/>
      <c r="K162" s="861"/>
      <c r="L162" s="386" t="str">
        <f>'Front Page'!$D$5</f>
        <v>Project</v>
      </c>
      <c r="M162" s="899"/>
      <c r="N162" s="835"/>
      <c r="O162" s="131" t="s">
        <v>5</v>
      </c>
      <c r="P162" s="427"/>
      <c r="Q162" s="5"/>
      <c r="R162" s="5"/>
      <c r="S162" s="5"/>
      <c r="T162" s="5"/>
      <c r="U162" s="5" t="s">
        <v>158</v>
      </c>
      <c r="V162" s="5">
        <f>V157*V152/(V158+V157)</f>
        <v>230.88855950133541</v>
      </c>
      <c r="W162" s="5"/>
      <c r="X162" s="5"/>
      <c r="Y162" s="5"/>
    </row>
    <row r="163" spans="1:25" ht="13.5" customHeight="1" thickTop="1" x14ac:dyDescent="0.2">
      <c r="A163" s="571"/>
      <c r="B163" s="571"/>
      <c r="C163" s="571"/>
      <c r="D163" s="571"/>
      <c r="E163" s="571"/>
      <c r="F163" s="571"/>
      <c r="G163" s="571"/>
      <c r="H163" s="571"/>
      <c r="I163" s="571"/>
      <c r="J163" s="571"/>
      <c r="K163" s="571"/>
      <c r="L163" s="571"/>
      <c r="M163" s="571"/>
      <c r="N163" s="571"/>
      <c r="O163" s="571"/>
      <c r="P163" s="571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0.25" customHeight="1" x14ac:dyDescent="0.3">
      <c r="A164" s="702" t="s">
        <v>2150</v>
      </c>
      <c r="B164" s="571"/>
      <c r="C164" s="571"/>
      <c r="D164" s="571"/>
      <c r="E164" s="571"/>
      <c r="F164" s="571"/>
      <c r="G164" s="571"/>
      <c r="H164" s="571"/>
      <c r="I164" s="702" t="s">
        <v>2151</v>
      </c>
      <c r="J164" s="571"/>
      <c r="K164" s="571"/>
      <c r="L164" s="571"/>
      <c r="M164" s="571"/>
      <c r="N164" s="571"/>
      <c r="O164" s="571"/>
      <c r="P164" s="571"/>
      <c r="Q164" s="5"/>
      <c r="R164" s="5"/>
      <c r="S164" s="5"/>
      <c r="T164" s="5"/>
      <c r="U164" s="5" t="s">
        <v>526</v>
      </c>
      <c r="V164" s="5">
        <f>V155/2+V162-V153/2</f>
        <v>70.888559501335408</v>
      </c>
      <c r="W164" s="5"/>
      <c r="X164" s="5"/>
      <c r="Y164" s="5"/>
    </row>
    <row r="165" spans="1:25" x14ac:dyDescent="0.2">
      <c r="A165" s="571"/>
      <c r="B165" s="571"/>
      <c r="C165" s="571"/>
      <c r="D165" s="571"/>
      <c r="E165" s="571"/>
      <c r="F165" s="571"/>
      <c r="G165" s="571"/>
      <c r="H165" s="571"/>
      <c r="I165" s="571"/>
      <c r="J165" s="571"/>
      <c r="K165" s="571"/>
      <c r="L165" s="571"/>
      <c r="M165" s="571"/>
      <c r="N165" s="571"/>
      <c r="O165" s="571"/>
      <c r="P165" s="571"/>
      <c r="Q165" s="5"/>
      <c r="R165" s="5"/>
      <c r="S165" s="5"/>
      <c r="T165" s="5"/>
      <c r="U165" s="5" t="s">
        <v>2152</v>
      </c>
      <c r="V165" s="5">
        <f>V153/6</f>
        <v>150</v>
      </c>
      <c r="W165" s="5"/>
      <c r="X165" s="5"/>
      <c r="Y165" s="5"/>
    </row>
    <row r="166" spans="1:25" x14ac:dyDescent="0.2">
      <c r="A166" s="1018" t="s">
        <v>2153</v>
      </c>
      <c r="B166" s="809"/>
      <c r="C166" s="809"/>
      <c r="D166" s="809"/>
      <c r="E166" s="809"/>
      <c r="F166" s="809"/>
      <c r="G166" s="809"/>
      <c r="H166" s="571"/>
      <c r="I166" s="1018" t="s">
        <v>2154</v>
      </c>
      <c r="J166" s="809"/>
      <c r="K166" s="809"/>
      <c r="L166" s="809"/>
      <c r="M166" s="809"/>
      <c r="N166" s="809"/>
      <c r="O166" s="809"/>
      <c r="P166" s="571"/>
      <c r="Q166" s="5"/>
      <c r="R166" s="5"/>
      <c r="S166" s="5"/>
      <c r="T166" s="5"/>
      <c r="U166" s="5"/>
      <c r="V166" s="5"/>
      <c r="W166" s="5"/>
      <c r="X166" s="5"/>
      <c r="Y166" s="5"/>
    </row>
    <row r="167" spans="1:25" x14ac:dyDescent="0.2">
      <c r="A167" s="809"/>
      <c r="B167" s="809"/>
      <c r="C167" s="809"/>
      <c r="D167" s="809"/>
      <c r="E167" s="809"/>
      <c r="F167" s="809"/>
      <c r="G167" s="809"/>
      <c r="H167" s="571"/>
      <c r="I167" s="809"/>
      <c r="J167" s="809"/>
      <c r="K167" s="809"/>
      <c r="L167" s="809"/>
      <c r="M167" s="809"/>
      <c r="N167" s="809"/>
      <c r="O167" s="809"/>
      <c r="P167" s="571"/>
      <c r="Q167" s="5"/>
      <c r="R167" s="5"/>
      <c r="S167" s="5"/>
      <c r="T167" s="5"/>
      <c r="U167" s="5" t="s">
        <v>2155</v>
      </c>
      <c r="V167" s="5">
        <f>V160/V153*(1+ABS(6*V164/V153))</f>
        <v>0.16036906476467477</v>
      </c>
      <c r="W167" s="5" t="s">
        <v>925</v>
      </c>
      <c r="X167" s="5"/>
      <c r="Y167" s="5"/>
    </row>
    <row r="168" spans="1:25" x14ac:dyDescent="0.2">
      <c r="A168" s="571"/>
      <c r="B168" s="571"/>
      <c r="C168" s="571"/>
      <c r="D168" s="571"/>
      <c r="E168" s="571"/>
      <c r="F168" s="571"/>
      <c r="G168" s="571"/>
      <c r="H168" s="571"/>
      <c r="I168" s="571"/>
      <c r="J168" s="571"/>
      <c r="K168" s="571"/>
      <c r="L168" s="571"/>
      <c r="M168" s="571"/>
      <c r="N168" s="571"/>
      <c r="O168" s="571"/>
      <c r="P168" s="571"/>
      <c r="Q168" s="5"/>
      <c r="R168" s="5"/>
      <c r="S168" s="5"/>
      <c r="T168" s="5"/>
      <c r="U168" s="5"/>
      <c r="V168" s="5">
        <f>V167*2/0.75</f>
        <v>0.42765083937246606</v>
      </c>
      <c r="W168" s="5"/>
      <c r="X168" s="5"/>
      <c r="Y168" s="5"/>
    </row>
    <row r="169" spans="1:25" x14ac:dyDescent="0.2">
      <c r="A169" s="571"/>
      <c r="B169" s="571"/>
      <c r="C169" s="571"/>
      <c r="D169" s="571"/>
      <c r="E169" s="571"/>
      <c r="F169" s="571"/>
      <c r="G169" s="571"/>
      <c r="H169" s="571"/>
      <c r="I169" s="571"/>
      <c r="J169" s="571"/>
      <c r="K169" s="571"/>
      <c r="L169" s="571"/>
      <c r="M169" s="571"/>
      <c r="N169" s="571"/>
      <c r="O169" s="571"/>
      <c r="P169" s="571"/>
      <c r="Q169" s="5"/>
      <c r="R169" s="5"/>
      <c r="S169" s="5"/>
      <c r="T169" s="5"/>
      <c r="U169" s="5"/>
      <c r="V169" s="5"/>
      <c r="W169" s="5"/>
      <c r="X169" s="5"/>
      <c r="Y169" s="5"/>
    </row>
    <row r="170" spans="1:25" x14ac:dyDescent="0.2">
      <c r="A170" s="571" t="s">
        <v>196</v>
      </c>
      <c r="B170" s="587">
        <f>B171-B172-B173/2</f>
        <v>290</v>
      </c>
      <c r="C170" s="571" t="s">
        <v>2156</v>
      </c>
      <c r="D170" s="571"/>
      <c r="E170" s="571"/>
      <c r="F170" s="571"/>
      <c r="G170" s="571"/>
      <c r="H170" s="571"/>
      <c r="I170" s="571" t="s">
        <v>196</v>
      </c>
      <c r="J170" s="587">
        <f>B170/25.4</f>
        <v>11.41732283464567</v>
      </c>
      <c r="K170" s="571" t="s">
        <v>2157</v>
      </c>
      <c r="L170" s="571"/>
      <c r="M170" s="571"/>
      <c r="N170" s="571"/>
      <c r="O170" s="571"/>
      <c r="P170" s="571"/>
      <c r="Q170" s="5"/>
      <c r="R170" s="5"/>
      <c r="S170" s="5"/>
      <c r="T170" s="5"/>
      <c r="U170" s="5"/>
      <c r="V170" s="5"/>
      <c r="W170" s="5"/>
      <c r="X170" s="5"/>
      <c r="Y170" s="5"/>
    </row>
    <row r="171" spans="1:25" x14ac:dyDescent="0.2">
      <c r="A171" s="571" t="s">
        <v>1427</v>
      </c>
      <c r="B171" s="587">
        <f>'Main Dimensions Calcs'!E86*1000</f>
        <v>900</v>
      </c>
      <c r="C171" s="571" t="s">
        <v>2158</v>
      </c>
      <c r="D171" s="571"/>
      <c r="E171" s="571"/>
      <c r="F171" s="571"/>
      <c r="G171" s="571"/>
      <c r="H171" s="571"/>
      <c r="I171" s="571" t="s">
        <v>1427</v>
      </c>
      <c r="J171" s="587">
        <f>B171/25.4</f>
        <v>35.433070866141733</v>
      </c>
      <c r="K171" s="571" t="s">
        <v>2159</v>
      </c>
      <c r="L171" s="571"/>
      <c r="M171" s="571"/>
      <c r="N171" s="571"/>
      <c r="O171" s="571"/>
      <c r="P171" s="571"/>
      <c r="Q171" s="5"/>
      <c r="R171" s="5"/>
      <c r="S171" s="5"/>
      <c r="T171" s="5"/>
      <c r="U171" s="5"/>
      <c r="V171" s="5"/>
      <c r="W171" s="5"/>
      <c r="X171" s="5"/>
      <c r="Y171" s="5"/>
    </row>
    <row r="172" spans="1:25" x14ac:dyDescent="0.2">
      <c r="A172" s="571" t="s">
        <v>2144</v>
      </c>
      <c r="B172" s="587">
        <f>'Main Dimensions Calcs'!E87</f>
        <v>320</v>
      </c>
      <c r="C172" s="571" t="s">
        <v>2156</v>
      </c>
      <c r="D172" s="571"/>
      <c r="E172" s="571"/>
      <c r="F172" s="571"/>
      <c r="G172" s="571"/>
      <c r="H172" s="571"/>
      <c r="I172" s="571" t="s">
        <v>2144</v>
      </c>
      <c r="J172" s="587">
        <f>B172/25.4</f>
        <v>12.598425196850394</v>
      </c>
      <c r="K172" s="571" t="s">
        <v>2160</v>
      </c>
      <c r="L172" s="571"/>
      <c r="M172" s="571"/>
      <c r="N172" s="571"/>
      <c r="O172" s="571"/>
      <c r="P172" s="571"/>
      <c r="Q172" s="5"/>
      <c r="R172" s="5"/>
      <c r="S172" s="5"/>
      <c r="T172" s="5"/>
      <c r="U172" s="5"/>
      <c r="V172" s="5"/>
      <c r="W172" s="5"/>
      <c r="X172" s="5"/>
      <c r="Y172" s="5"/>
    </row>
    <row r="173" spans="1:25" x14ac:dyDescent="0.2">
      <c r="A173" s="571" t="s">
        <v>2145</v>
      </c>
      <c r="B173" s="587">
        <f>B171-B172</f>
        <v>580</v>
      </c>
      <c r="C173" s="571" t="s">
        <v>2161</v>
      </c>
      <c r="D173" s="571"/>
      <c r="E173" s="571"/>
      <c r="F173" s="571"/>
      <c r="G173" s="571"/>
      <c r="H173" s="571"/>
      <c r="I173" s="571" t="s">
        <v>2145</v>
      </c>
      <c r="J173" s="587">
        <f>B173/25.4</f>
        <v>22.834645669291341</v>
      </c>
      <c r="K173" s="571" t="s">
        <v>2160</v>
      </c>
      <c r="L173" s="571"/>
      <c r="M173" s="571"/>
      <c r="N173" s="571"/>
      <c r="O173" s="571"/>
      <c r="P173" s="571"/>
      <c r="Q173" s="5"/>
      <c r="R173" s="5"/>
      <c r="S173" s="5"/>
      <c r="T173" s="5"/>
      <c r="U173" s="5"/>
      <c r="V173" s="5"/>
      <c r="W173" s="5"/>
      <c r="X173" s="5"/>
      <c r="Y173" s="5"/>
    </row>
    <row r="174" spans="1:25" x14ac:dyDescent="0.2">
      <c r="A174" s="571" t="s">
        <v>2146</v>
      </c>
      <c r="B174" s="703">
        <f>('Loads on slab'!B25*'Loads on slab'!B24/'Loads on slab'!B11*9.8/1000000000+'Loads on slab'!B9*0.0001)</f>
        <v>4.9445039999999994E-5</v>
      </c>
      <c r="C174" s="571" t="s">
        <v>2162</v>
      </c>
      <c r="D174" s="571"/>
      <c r="E174" s="571"/>
      <c r="F174" s="571"/>
      <c r="G174" s="571"/>
      <c r="H174" s="571"/>
      <c r="I174" s="571" t="s">
        <v>2146</v>
      </c>
      <c r="J174" s="704">
        <f>B174*1000*145.04</f>
        <v>7.1715086015999994</v>
      </c>
      <c r="K174" s="571" t="s">
        <v>2163</v>
      </c>
      <c r="L174" s="571"/>
      <c r="M174" s="571"/>
      <c r="N174" s="571"/>
      <c r="O174" s="571"/>
      <c r="P174" s="571"/>
      <c r="Q174" s="5"/>
      <c r="R174" s="5"/>
      <c r="S174" s="5"/>
      <c r="T174" s="5"/>
      <c r="U174" s="5"/>
      <c r="V174" s="5"/>
      <c r="W174" s="5"/>
      <c r="X174" s="5"/>
      <c r="Y174" s="5"/>
    </row>
    <row r="175" spans="1:25" x14ac:dyDescent="0.2">
      <c r="A175" s="571" t="s">
        <v>2101</v>
      </c>
      <c r="B175" s="587">
        <f>B106*B30</f>
        <v>78.034303482968198</v>
      </c>
      <c r="C175" s="571" t="s">
        <v>2164</v>
      </c>
      <c r="D175" s="571"/>
      <c r="E175" s="571"/>
      <c r="F175" s="571"/>
      <c r="G175" s="571"/>
      <c r="H175" s="571"/>
      <c r="I175" s="571" t="s">
        <v>2101</v>
      </c>
      <c r="J175" s="704">
        <f>B175*1000*0.00571</f>
        <v>445.5758728877484</v>
      </c>
      <c r="K175" s="571" t="s">
        <v>2165</v>
      </c>
      <c r="L175" s="571"/>
      <c r="M175" s="571"/>
      <c r="N175" s="571"/>
      <c r="O175" s="571"/>
      <c r="P175" s="571"/>
      <c r="Q175" s="5"/>
      <c r="R175" s="5"/>
      <c r="S175" s="5"/>
      <c r="T175" s="5"/>
      <c r="U175" s="5"/>
      <c r="V175" s="5"/>
      <c r="W175" s="5"/>
      <c r="X175" s="5"/>
      <c r="Y175" s="5"/>
    </row>
    <row r="176" spans="1:25" x14ac:dyDescent="0.2">
      <c r="A176" s="571" t="s">
        <v>1119</v>
      </c>
      <c r="B176" s="587">
        <f>B173*B174*1000</f>
        <v>28.678123199999995</v>
      </c>
      <c r="C176" s="571" t="s">
        <v>2166</v>
      </c>
      <c r="D176" s="571"/>
      <c r="E176" s="571"/>
      <c r="F176" s="571"/>
      <c r="G176" s="571"/>
      <c r="H176" s="571"/>
      <c r="I176" s="571" t="s">
        <v>1119</v>
      </c>
      <c r="J176" s="704">
        <f>B176*1000*0.00571</f>
        <v>163.75208347199995</v>
      </c>
      <c r="K176" s="571" t="s">
        <v>2167</v>
      </c>
      <c r="L176" s="571"/>
      <c r="M176" s="571"/>
      <c r="N176" s="571"/>
      <c r="O176" s="571"/>
      <c r="P176" s="571"/>
      <c r="Q176" s="5"/>
      <c r="R176" s="5"/>
      <c r="S176" s="5"/>
      <c r="T176" s="5"/>
      <c r="U176" s="5"/>
      <c r="V176" s="5"/>
      <c r="W176" s="5"/>
      <c r="X176" s="5"/>
      <c r="Y176" s="5"/>
    </row>
    <row r="177" spans="1:25" x14ac:dyDescent="0.2">
      <c r="A177" s="571"/>
      <c r="B177" s="587"/>
      <c r="C177" s="571"/>
      <c r="D177" s="571"/>
      <c r="E177" s="571"/>
      <c r="F177" s="571"/>
      <c r="G177" s="571"/>
      <c r="H177" s="571"/>
      <c r="I177" s="571"/>
      <c r="J177" s="587"/>
      <c r="K177" s="571"/>
      <c r="L177" s="571"/>
      <c r="M177" s="571"/>
      <c r="N177" s="571"/>
      <c r="O177" s="571"/>
      <c r="P177" s="571"/>
      <c r="Q177" s="5"/>
      <c r="R177" s="5"/>
      <c r="S177" s="5"/>
      <c r="T177" s="5"/>
      <c r="U177" s="5"/>
      <c r="V177" s="5"/>
      <c r="W177" s="5"/>
      <c r="X177" s="5"/>
      <c r="Y177" s="5"/>
    </row>
    <row r="178" spans="1:25" x14ac:dyDescent="0.2">
      <c r="A178" s="571"/>
      <c r="B178" s="571"/>
      <c r="C178" s="571"/>
      <c r="D178" s="571"/>
      <c r="E178" s="571"/>
      <c r="F178" s="571"/>
      <c r="G178" s="571"/>
      <c r="H178" s="571"/>
      <c r="I178" s="571"/>
      <c r="J178" s="571"/>
      <c r="K178" s="571"/>
      <c r="L178" s="571"/>
      <c r="M178" s="571"/>
      <c r="N178" s="571"/>
      <c r="O178" s="571"/>
      <c r="P178" s="571"/>
      <c r="Q178" s="5"/>
      <c r="R178" s="5"/>
      <c r="S178" s="5"/>
      <c r="T178" s="5"/>
      <c r="U178" s="5"/>
      <c r="V178" s="5"/>
      <c r="W178" s="5"/>
      <c r="X178" s="5"/>
      <c r="Y178" s="5"/>
    </row>
    <row r="179" spans="1:25" x14ac:dyDescent="0.2">
      <c r="A179" s="571"/>
      <c r="B179" s="571"/>
      <c r="C179" s="571"/>
      <c r="D179" s="571"/>
      <c r="E179" s="571"/>
      <c r="F179" s="571"/>
      <c r="G179" s="571"/>
      <c r="H179" s="571"/>
      <c r="I179" s="571"/>
      <c r="J179" s="571"/>
      <c r="K179" s="571"/>
      <c r="L179" s="571"/>
      <c r="M179" s="571"/>
      <c r="N179" s="571"/>
      <c r="O179" s="571"/>
      <c r="P179" s="571"/>
      <c r="Q179" s="5"/>
      <c r="R179" s="5"/>
      <c r="S179" s="5"/>
      <c r="T179" s="5"/>
      <c r="U179" s="5"/>
      <c r="V179" s="5"/>
      <c r="W179" s="5"/>
      <c r="X179" s="5"/>
      <c r="Y179" s="5"/>
    </row>
    <row r="180" spans="1:25" x14ac:dyDescent="0.2">
      <c r="A180" s="571"/>
      <c r="B180" s="571"/>
      <c r="C180" s="571"/>
      <c r="D180" s="571"/>
      <c r="E180" s="571"/>
      <c r="F180" s="571"/>
      <c r="G180" s="571"/>
      <c r="H180" s="571"/>
      <c r="I180" s="571"/>
      <c r="J180" s="571"/>
      <c r="K180" s="571"/>
      <c r="L180" s="571"/>
      <c r="M180" s="571"/>
      <c r="N180" s="571"/>
      <c r="O180" s="571"/>
      <c r="P180" s="571"/>
      <c r="Q180" s="5"/>
      <c r="R180" s="5"/>
      <c r="S180" s="5"/>
      <c r="T180" s="5"/>
      <c r="U180" s="5"/>
      <c r="V180" s="5"/>
      <c r="W180" s="5"/>
      <c r="X180" s="5"/>
      <c r="Y180" s="5"/>
    </row>
    <row r="181" spans="1:25" x14ac:dyDescent="0.2">
      <c r="A181" s="571"/>
      <c r="B181" s="571"/>
      <c r="C181" s="571"/>
      <c r="D181" s="571"/>
      <c r="E181" s="571"/>
      <c r="F181" s="571"/>
      <c r="G181" s="571"/>
      <c r="H181" s="571"/>
      <c r="I181" s="571"/>
      <c r="J181" s="571"/>
      <c r="K181" s="571"/>
      <c r="L181" s="571"/>
      <c r="M181" s="571"/>
      <c r="N181" s="571"/>
      <c r="O181" s="571"/>
      <c r="P181" s="571"/>
      <c r="Q181" s="5"/>
      <c r="R181" s="5"/>
      <c r="S181" s="5"/>
      <c r="T181" s="5"/>
      <c r="U181" s="5"/>
      <c r="V181" s="5"/>
      <c r="W181" s="5"/>
      <c r="X181" s="5"/>
      <c r="Y181" s="5"/>
    </row>
    <row r="182" spans="1:25" x14ac:dyDescent="0.2">
      <c r="A182" s="571"/>
      <c r="B182" s="571"/>
      <c r="C182" s="571"/>
      <c r="D182" s="571"/>
      <c r="E182" s="571"/>
      <c r="F182" s="571"/>
      <c r="G182" s="571"/>
      <c r="H182" s="571"/>
      <c r="I182" s="571"/>
      <c r="J182" s="571"/>
      <c r="K182" s="571"/>
      <c r="L182" s="571"/>
      <c r="M182" s="571"/>
      <c r="N182" s="571"/>
      <c r="O182" s="571"/>
      <c r="P182" s="571"/>
      <c r="Q182" s="5"/>
      <c r="R182" s="5"/>
      <c r="S182" s="5"/>
      <c r="T182" s="5"/>
      <c r="U182" s="5"/>
      <c r="V182" s="5"/>
      <c r="W182" s="5"/>
      <c r="X182" s="5"/>
      <c r="Y182" s="5"/>
    </row>
    <row r="183" spans="1:25" x14ac:dyDescent="0.2">
      <c r="A183" s="571"/>
      <c r="B183" s="571"/>
      <c r="C183" s="571"/>
      <c r="D183" s="571"/>
      <c r="E183" s="571"/>
      <c r="F183" s="571"/>
      <c r="G183" s="571"/>
      <c r="H183" s="571"/>
      <c r="I183" s="571"/>
      <c r="J183" s="571"/>
      <c r="K183" s="571"/>
      <c r="L183" s="571"/>
      <c r="M183" s="571"/>
      <c r="N183" s="571"/>
      <c r="O183" s="571"/>
      <c r="P183" s="571"/>
      <c r="Q183" s="5"/>
      <c r="R183" s="5"/>
      <c r="S183" s="5"/>
      <c r="T183" s="5"/>
      <c r="U183" s="5"/>
      <c r="V183" s="5"/>
      <c r="W183" s="5"/>
      <c r="X183" s="5"/>
      <c r="Y183" s="5"/>
    </row>
    <row r="184" spans="1:25" x14ac:dyDescent="0.2">
      <c r="A184" s="571"/>
      <c r="B184" s="571"/>
      <c r="C184" s="571"/>
      <c r="D184" s="571"/>
      <c r="E184" s="571"/>
      <c r="F184" s="571"/>
      <c r="G184" s="571"/>
      <c r="H184" s="571"/>
      <c r="I184" s="571"/>
      <c r="J184" s="571"/>
      <c r="K184" s="571"/>
      <c r="L184" s="571"/>
      <c r="M184" s="571"/>
      <c r="N184" s="571"/>
      <c r="O184" s="571"/>
      <c r="P184" s="571"/>
      <c r="Q184" s="5"/>
      <c r="R184" s="5"/>
      <c r="S184" s="5"/>
      <c r="T184" s="5"/>
      <c r="U184" s="5"/>
      <c r="V184" s="5"/>
      <c r="W184" s="5"/>
      <c r="X184" s="5"/>
      <c r="Y184" s="5"/>
    </row>
    <row r="185" spans="1:25" x14ac:dyDescent="0.2">
      <c r="A185" s="571"/>
      <c r="B185" s="571"/>
      <c r="C185" s="571"/>
      <c r="D185" s="571"/>
      <c r="E185" s="571"/>
      <c r="F185" s="571"/>
      <c r="G185" s="571"/>
      <c r="H185" s="571"/>
      <c r="I185" s="571"/>
      <c r="J185" s="571"/>
      <c r="K185" s="571"/>
      <c r="L185" s="571"/>
      <c r="M185" s="571"/>
      <c r="N185" s="571"/>
      <c r="O185" s="571"/>
      <c r="P185" s="571"/>
      <c r="Q185" s="5"/>
      <c r="R185" s="5"/>
      <c r="S185" s="5"/>
      <c r="T185" s="5"/>
      <c r="U185" s="5"/>
      <c r="V185" s="5"/>
      <c r="W185" s="5"/>
      <c r="X185" s="5"/>
      <c r="Y185" s="5"/>
    </row>
    <row r="186" spans="1:25" x14ac:dyDescent="0.2">
      <c r="A186" s="571"/>
      <c r="B186" s="571"/>
      <c r="C186" s="571"/>
      <c r="D186" s="571"/>
      <c r="E186" s="571"/>
      <c r="F186" s="571"/>
      <c r="G186" s="571"/>
      <c r="H186" s="571"/>
      <c r="I186" s="571"/>
      <c r="J186" s="571"/>
      <c r="K186" s="571"/>
      <c r="L186" s="571"/>
      <c r="M186" s="571"/>
      <c r="N186" s="571"/>
      <c r="O186" s="571"/>
      <c r="P186" s="571"/>
      <c r="Q186" s="5"/>
      <c r="R186" s="5"/>
      <c r="S186" s="5"/>
      <c r="T186" s="5"/>
      <c r="U186" s="5"/>
      <c r="V186" s="5"/>
      <c r="W186" s="5"/>
      <c r="X186" s="5"/>
      <c r="Y186" s="5"/>
    </row>
    <row r="187" spans="1:25" x14ac:dyDescent="0.2">
      <c r="A187" s="571"/>
      <c r="B187" s="571"/>
      <c r="C187" s="571"/>
      <c r="D187" s="571"/>
      <c r="E187" s="571"/>
      <c r="F187" s="571"/>
      <c r="G187" s="571"/>
      <c r="H187" s="571"/>
      <c r="I187" s="571"/>
      <c r="J187" s="571"/>
      <c r="K187" s="571"/>
      <c r="L187" s="571"/>
      <c r="M187" s="571"/>
      <c r="N187" s="571"/>
      <c r="O187" s="571"/>
      <c r="P187" s="571"/>
      <c r="Q187" s="5"/>
      <c r="R187" s="5"/>
      <c r="S187" s="5"/>
      <c r="T187" s="5"/>
      <c r="U187" s="5"/>
      <c r="V187" s="5"/>
      <c r="W187" s="5"/>
      <c r="X187" s="5"/>
      <c r="Y187" s="5"/>
    </row>
    <row r="188" spans="1:25" x14ac:dyDescent="0.2">
      <c r="A188" s="571"/>
      <c r="B188" s="571"/>
      <c r="C188" s="571"/>
      <c r="D188" s="571"/>
      <c r="E188" s="571"/>
      <c r="F188" s="571"/>
      <c r="G188" s="571"/>
      <c r="H188" s="571"/>
      <c r="I188" s="571"/>
      <c r="J188" s="571"/>
      <c r="K188" s="571"/>
      <c r="L188" s="571"/>
      <c r="M188" s="571"/>
      <c r="N188" s="571"/>
      <c r="O188" s="571"/>
      <c r="P188" s="571"/>
      <c r="Q188" s="5"/>
      <c r="R188" s="5"/>
      <c r="S188" s="5"/>
      <c r="T188" s="5"/>
      <c r="U188" s="5"/>
      <c r="V188" s="5"/>
      <c r="W188" s="5"/>
      <c r="X188" s="5"/>
      <c r="Y188" s="5"/>
    </row>
    <row r="189" spans="1:25" x14ac:dyDescent="0.2">
      <c r="A189" s="571"/>
      <c r="B189" s="571"/>
      <c r="C189" s="571"/>
      <c r="D189" s="571"/>
      <c r="E189" s="571"/>
      <c r="F189" s="571"/>
      <c r="G189" s="571"/>
      <c r="H189" s="571"/>
      <c r="I189" s="571"/>
      <c r="J189" s="571"/>
      <c r="K189" s="571"/>
      <c r="L189" s="571"/>
      <c r="M189" s="571"/>
      <c r="N189" s="571"/>
      <c r="O189" s="571"/>
      <c r="P189" s="571"/>
      <c r="Q189" s="5"/>
      <c r="R189" s="5"/>
      <c r="S189" s="5"/>
      <c r="T189" s="5"/>
      <c r="U189" s="5"/>
      <c r="V189" s="5"/>
      <c r="W189" s="5"/>
      <c r="X189" s="5"/>
      <c r="Y189" s="5"/>
    </row>
    <row r="190" spans="1:25" x14ac:dyDescent="0.2">
      <c r="A190" s="571"/>
      <c r="B190" s="571"/>
      <c r="C190" s="571"/>
      <c r="D190" s="571"/>
      <c r="E190" s="571"/>
      <c r="F190" s="571"/>
      <c r="G190" s="571"/>
      <c r="H190" s="571"/>
      <c r="I190" s="571"/>
      <c r="J190" s="571"/>
      <c r="K190" s="571"/>
      <c r="L190" s="571"/>
      <c r="M190" s="571"/>
      <c r="N190" s="571"/>
      <c r="O190" s="571"/>
      <c r="P190" s="571"/>
      <c r="Q190" s="5"/>
      <c r="R190" s="5"/>
      <c r="S190" s="5"/>
      <c r="T190" s="5"/>
      <c r="U190" s="5"/>
      <c r="V190" s="5"/>
      <c r="W190" s="5"/>
      <c r="X190" s="5"/>
      <c r="Y190" s="5"/>
    </row>
    <row r="191" spans="1:25" x14ac:dyDescent="0.2">
      <c r="A191" s="571"/>
      <c r="B191" s="571"/>
      <c r="C191" s="571"/>
      <c r="D191" s="571"/>
      <c r="E191" s="571"/>
      <c r="F191" s="571"/>
      <c r="G191" s="571"/>
      <c r="H191" s="571"/>
      <c r="I191" s="571"/>
      <c r="J191" s="571"/>
      <c r="K191" s="571"/>
      <c r="L191" s="571"/>
      <c r="M191" s="571"/>
      <c r="N191" s="571"/>
      <c r="O191" s="571"/>
      <c r="P191" s="571"/>
      <c r="Q191" s="5"/>
      <c r="R191" s="5"/>
      <c r="S191" s="5"/>
      <c r="T191" s="5"/>
      <c r="U191" s="5"/>
      <c r="V191" s="5"/>
      <c r="W191" s="5"/>
      <c r="X191" s="5"/>
      <c r="Y191" s="5"/>
    </row>
    <row r="192" spans="1:25" x14ac:dyDescent="0.2">
      <c r="A192" s="571"/>
      <c r="B192" s="571"/>
      <c r="C192" s="571"/>
      <c r="D192" s="571"/>
      <c r="E192" s="571"/>
      <c r="F192" s="571"/>
      <c r="G192" s="571"/>
      <c r="H192" s="571"/>
      <c r="I192" s="571"/>
      <c r="J192" s="571"/>
      <c r="K192" s="571"/>
      <c r="L192" s="571"/>
      <c r="M192" s="571"/>
      <c r="N192" s="571"/>
      <c r="O192" s="571"/>
      <c r="P192" s="571"/>
      <c r="Q192" s="5"/>
      <c r="R192" s="5"/>
      <c r="S192" s="5"/>
      <c r="T192" s="5"/>
      <c r="U192" s="5"/>
      <c r="V192" s="5"/>
      <c r="W192" s="5"/>
      <c r="X192" s="5"/>
      <c r="Y192" s="5"/>
    </row>
    <row r="193" spans="1:25" x14ac:dyDescent="0.2">
      <c r="A193" s="571"/>
      <c r="B193" s="571"/>
      <c r="C193" s="571"/>
      <c r="D193" s="571"/>
      <c r="E193" s="571"/>
      <c r="F193" s="571"/>
      <c r="G193" s="571"/>
      <c r="H193" s="571"/>
      <c r="I193" s="571"/>
      <c r="J193" s="571"/>
      <c r="K193" s="571"/>
      <c r="L193" s="571"/>
      <c r="M193" s="571"/>
      <c r="N193" s="571"/>
      <c r="O193" s="571"/>
      <c r="P193" s="571"/>
      <c r="Q193" s="5"/>
      <c r="R193" s="5"/>
      <c r="S193" s="5"/>
      <c r="T193" s="5"/>
      <c r="U193" s="5"/>
      <c r="V193" s="5"/>
      <c r="W193" s="5"/>
      <c r="X193" s="5"/>
      <c r="Y193" s="5"/>
    </row>
    <row r="194" spans="1:25" x14ac:dyDescent="0.2">
      <c r="A194" s="571"/>
      <c r="B194" s="571"/>
      <c r="C194" s="571"/>
      <c r="D194" s="571"/>
      <c r="E194" s="571"/>
      <c r="F194" s="571"/>
      <c r="G194" s="571"/>
      <c r="H194" s="571"/>
      <c r="I194" s="571"/>
      <c r="J194" s="571"/>
      <c r="K194" s="571"/>
      <c r="L194" s="571"/>
      <c r="M194" s="571"/>
      <c r="N194" s="571"/>
      <c r="O194" s="571"/>
      <c r="P194" s="571"/>
      <c r="Q194" s="5"/>
      <c r="R194" s="5"/>
      <c r="S194" s="5"/>
      <c r="T194" s="5"/>
      <c r="U194" s="5"/>
      <c r="V194" s="5"/>
      <c r="W194" s="5"/>
      <c r="X194" s="5"/>
      <c r="Y194" s="5"/>
    </row>
    <row r="195" spans="1:25" x14ac:dyDescent="0.2">
      <c r="A195" s="571"/>
      <c r="B195" s="571"/>
      <c r="C195" s="571"/>
      <c r="D195" s="571"/>
      <c r="E195" s="571"/>
      <c r="F195" s="571"/>
      <c r="G195" s="571"/>
      <c r="H195" s="571"/>
      <c r="I195" s="571"/>
      <c r="J195" s="571"/>
      <c r="K195" s="571"/>
      <c r="L195" s="571"/>
      <c r="M195" s="571"/>
      <c r="N195" s="571"/>
      <c r="O195" s="571"/>
      <c r="P195" s="571"/>
      <c r="Q195" s="5"/>
      <c r="R195" s="5"/>
      <c r="S195" s="5"/>
      <c r="T195" s="5"/>
      <c r="U195" s="5"/>
      <c r="V195" s="5"/>
      <c r="W195" s="5"/>
      <c r="X195" s="5"/>
      <c r="Y195" s="5"/>
    </row>
    <row r="196" spans="1:25" x14ac:dyDescent="0.2">
      <c r="A196" s="571"/>
      <c r="B196" s="571"/>
      <c r="C196" s="571"/>
      <c r="D196" s="571"/>
      <c r="E196" s="571"/>
      <c r="F196" s="571"/>
      <c r="G196" s="571"/>
      <c r="H196" s="571"/>
      <c r="I196" s="571"/>
      <c r="J196" s="571"/>
      <c r="K196" s="571"/>
      <c r="L196" s="571"/>
      <c r="M196" s="571"/>
      <c r="N196" s="571"/>
      <c r="O196" s="571"/>
      <c r="P196" s="571"/>
      <c r="Q196" s="5"/>
      <c r="R196" s="5"/>
      <c r="S196" s="5"/>
      <c r="T196" s="5"/>
      <c r="U196" s="5"/>
      <c r="V196" s="5"/>
      <c r="W196" s="5"/>
      <c r="X196" s="5"/>
      <c r="Y196" s="5"/>
    </row>
    <row r="197" spans="1:25" x14ac:dyDescent="0.2">
      <c r="A197" s="571" t="s">
        <v>2148</v>
      </c>
      <c r="B197" s="587">
        <f>B176+B175</f>
        <v>106.71242668296819</v>
      </c>
      <c r="C197" s="571" t="s">
        <v>2168</v>
      </c>
      <c r="D197" s="571"/>
      <c r="E197" s="571"/>
      <c r="F197" s="571"/>
      <c r="G197" s="571"/>
      <c r="H197" s="571"/>
      <c r="I197" s="571" t="s">
        <v>2148</v>
      </c>
      <c r="J197" s="704">
        <f>B197*1000*0.00571</f>
        <v>609.32795635974833</v>
      </c>
      <c r="K197" s="571" t="s">
        <v>2169</v>
      </c>
      <c r="L197" s="571"/>
      <c r="M197" s="571"/>
      <c r="N197" s="571"/>
      <c r="O197" s="571"/>
      <c r="P197" s="571"/>
      <c r="Q197" s="5"/>
      <c r="R197" s="5"/>
      <c r="S197" s="5"/>
      <c r="T197" s="5"/>
      <c r="U197" s="5"/>
      <c r="V197" s="5"/>
      <c r="W197" s="5"/>
      <c r="X197" s="5"/>
      <c r="Y197" s="5"/>
    </row>
    <row r="198" spans="1:25" x14ac:dyDescent="0.2">
      <c r="A198" s="571" t="s">
        <v>158</v>
      </c>
      <c r="B198" s="587">
        <f>B175*B170/(B176+B175)</f>
        <v>212.06478676838697</v>
      </c>
      <c r="C198" s="571" t="s">
        <v>2170</v>
      </c>
      <c r="D198" s="571"/>
      <c r="E198" s="571"/>
      <c r="F198" s="571"/>
      <c r="G198" s="571"/>
      <c r="H198" s="571"/>
      <c r="I198" s="571" t="s">
        <v>158</v>
      </c>
      <c r="J198" s="587">
        <f>B198/25.4</f>
        <v>8.3490073530861011</v>
      </c>
      <c r="K198" s="571" t="s">
        <v>2171</v>
      </c>
      <c r="L198" s="571"/>
      <c r="M198" s="571"/>
      <c r="N198" s="571"/>
      <c r="O198" s="571"/>
      <c r="P198" s="571"/>
      <c r="Q198" s="5"/>
      <c r="R198" s="5"/>
      <c r="S198" s="5"/>
      <c r="T198" s="5"/>
      <c r="U198" s="5"/>
      <c r="V198" s="5"/>
      <c r="W198" s="5"/>
      <c r="X198" s="5"/>
      <c r="Y198" s="5"/>
    </row>
    <row r="199" spans="1:25" x14ac:dyDescent="0.2">
      <c r="A199" s="571" t="s">
        <v>526</v>
      </c>
      <c r="B199" s="587">
        <f>B173/2+B198-B171/2</f>
        <v>52.064786768386966</v>
      </c>
      <c r="C199" s="571" t="s">
        <v>2172</v>
      </c>
      <c r="D199" s="571"/>
      <c r="E199" s="571"/>
      <c r="F199" s="571"/>
      <c r="G199" s="571"/>
      <c r="H199" s="571"/>
      <c r="I199" s="571" t="s">
        <v>526</v>
      </c>
      <c r="J199" s="587">
        <f>B199/25.4</f>
        <v>2.0497947546609043</v>
      </c>
      <c r="K199" s="571" t="s">
        <v>2173</v>
      </c>
      <c r="L199" s="571"/>
      <c r="M199" s="571"/>
      <c r="N199" s="571"/>
      <c r="O199" s="571"/>
      <c r="P199" s="571"/>
      <c r="Q199" s="5"/>
      <c r="R199" s="5"/>
      <c r="S199" s="5"/>
      <c r="T199" s="5"/>
      <c r="U199" s="5"/>
      <c r="V199" s="5"/>
      <c r="W199" s="5"/>
      <c r="X199" s="5"/>
      <c r="Y199" s="5"/>
    </row>
    <row r="200" spans="1:25" x14ac:dyDescent="0.2">
      <c r="A200" s="571" t="s">
        <v>2152</v>
      </c>
      <c r="B200" s="587">
        <f>B171/6</f>
        <v>150</v>
      </c>
      <c r="C200" s="571" t="s">
        <v>2174</v>
      </c>
      <c r="D200" s="571"/>
      <c r="E200" s="571"/>
      <c r="F200" s="571"/>
      <c r="G200" s="571"/>
      <c r="H200" s="571"/>
      <c r="I200" s="571" t="s">
        <v>2152</v>
      </c>
      <c r="J200" s="587">
        <f>B200/25.4</f>
        <v>5.9055118110236222</v>
      </c>
      <c r="K200" s="571" t="s">
        <v>2175</v>
      </c>
      <c r="L200" s="571"/>
      <c r="M200" s="571"/>
      <c r="N200" s="571"/>
      <c r="O200" s="571"/>
      <c r="P200" s="571"/>
      <c r="Q200" s="5"/>
      <c r="R200" s="5"/>
      <c r="S200" s="5"/>
      <c r="T200" s="5"/>
      <c r="U200" s="5"/>
      <c r="V200" s="5"/>
      <c r="W200" s="5"/>
      <c r="X200" s="5"/>
      <c r="Y200" s="5"/>
    </row>
    <row r="201" spans="1:25" x14ac:dyDescent="0.2">
      <c r="A201" s="5"/>
      <c r="B201" s="5"/>
      <c r="C201" s="5"/>
      <c r="D201" s="5"/>
      <c r="E201" s="5"/>
      <c r="F201" s="571"/>
      <c r="G201" s="571"/>
      <c r="H201" s="571"/>
      <c r="I201" s="5"/>
      <c r="J201" s="5"/>
      <c r="K201" s="5"/>
      <c r="L201" s="5"/>
      <c r="M201" s="5"/>
      <c r="N201" s="571"/>
      <c r="O201" s="571"/>
      <c r="P201" s="571"/>
      <c r="Q201" s="5"/>
      <c r="R201" s="5"/>
      <c r="S201" s="5"/>
      <c r="T201" s="5"/>
      <c r="U201" s="5"/>
      <c r="V201" s="5"/>
      <c r="W201" s="5"/>
      <c r="X201" s="5"/>
      <c r="Y201" s="5"/>
    </row>
    <row r="202" spans="1:25" x14ac:dyDescent="0.2">
      <c r="A202" s="571" t="s">
        <v>2176</v>
      </c>
      <c r="B202" s="701">
        <v>3.5</v>
      </c>
      <c r="C202" s="571" t="s">
        <v>2177</v>
      </c>
      <c r="D202" s="571"/>
      <c r="E202" s="571"/>
      <c r="F202" s="571"/>
      <c r="G202" s="571"/>
      <c r="H202" s="571"/>
      <c r="I202" s="571" t="s">
        <v>2176</v>
      </c>
      <c r="J202" s="701">
        <v>3.5</v>
      </c>
      <c r="K202" s="571" t="s">
        <v>2177</v>
      </c>
      <c r="L202" s="571"/>
      <c r="M202" s="571"/>
      <c r="N202" s="571"/>
      <c r="O202" s="571"/>
      <c r="P202" s="571"/>
      <c r="Q202" s="5"/>
      <c r="R202" s="5"/>
      <c r="S202" s="5"/>
      <c r="T202" s="5"/>
      <c r="U202" s="5"/>
      <c r="V202" s="5"/>
      <c r="W202" s="5"/>
      <c r="X202" s="5"/>
      <c r="Y202" s="5"/>
    </row>
    <row r="203" spans="1:25" x14ac:dyDescent="0.2">
      <c r="A203" s="571" t="s">
        <v>2155</v>
      </c>
      <c r="B203" s="587">
        <f>B197/B171*(1+ABS(6*B199/B171))</f>
        <v>0.15972462032023033</v>
      </c>
      <c r="C203" s="571" t="s">
        <v>2178</v>
      </c>
      <c r="D203" s="571"/>
      <c r="E203" s="5"/>
      <c r="F203" s="571"/>
      <c r="G203" s="571"/>
      <c r="H203" s="571"/>
      <c r="I203" s="571" t="s">
        <v>2155</v>
      </c>
      <c r="J203" s="587">
        <f>B203*145.04</f>
        <v>23.166458931246204</v>
      </c>
      <c r="K203" s="571" t="s">
        <v>2179</v>
      </c>
      <c r="L203" s="571"/>
      <c r="M203" s="5"/>
      <c r="N203" s="571"/>
      <c r="O203" s="571"/>
      <c r="P203" s="571"/>
      <c r="Q203" s="5"/>
      <c r="R203" s="5"/>
      <c r="S203" s="5"/>
      <c r="T203" s="5"/>
      <c r="U203" s="5"/>
      <c r="V203" s="5"/>
      <c r="W203" s="5"/>
      <c r="X203" s="5"/>
      <c r="Y203" s="5"/>
    </row>
    <row r="204" spans="1:25" x14ac:dyDescent="0.2">
      <c r="A204" s="571" t="s">
        <v>2180</v>
      </c>
      <c r="B204" s="587">
        <f>B203*3.5</f>
        <v>0.55903617112080617</v>
      </c>
      <c r="C204" s="571" t="s">
        <v>2181</v>
      </c>
      <c r="D204" s="571"/>
      <c r="E204" s="571"/>
      <c r="F204" s="571"/>
      <c r="G204" s="571"/>
      <c r="H204" s="571"/>
      <c r="I204" s="571" t="s">
        <v>2182</v>
      </c>
      <c r="J204" s="587">
        <f>B204*145.04</f>
        <v>81.082606259361725</v>
      </c>
      <c r="K204" s="571" t="s">
        <v>2183</v>
      </c>
      <c r="L204" s="571"/>
      <c r="M204" s="571"/>
      <c r="N204" s="571"/>
      <c r="O204" s="571"/>
      <c r="P204" s="571"/>
      <c r="Q204" s="5"/>
      <c r="R204" s="5"/>
      <c r="S204" s="5"/>
      <c r="T204" s="5"/>
      <c r="U204" s="5"/>
      <c r="V204" s="5"/>
      <c r="W204" s="5"/>
      <c r="X204" s="5"/>
      <c r="Y204" s="5"/>
    </row>
    <row r="205" spans="1:25" x14ac:dyDescent="0.2">
      <c r="A205" s="5"/>
      <c r="B205" s="588">
        <v>0.8</v>
      </c>
      <c r="C205" s="571" t="s">
        <v>2184</v>
      </c>
      <c r="D205" s="571"/>
      <c r="E205" s="571"/>
      <c r="F205" s="705" t="s">
        <v>2185</v>
      </c>
      <c r="G205" s="706">
        <v>800</v>
      </c>
      <c r="H205" s="571"/>
      <c r="I205" s="5"/>
      <c r="J205" s="701">
        <f>B205*145.04</f>
        <v>116.032</v>
      </c>
      <c r="K205" s="571" t="s">
        <v>2186</v>
      </c>
      <c r="L205" s="571"/>
      <c r="M205" s="571"/>
      <c r="N205" s="707" t="str">
        <f>+F205</f>
        <v>HLB</v>
      </c>
      <c r="O205" s="708">
        <f>+G205</f>
        <v>800</v>
      </c>
      <c r="P205" s="571"/>
      <c r="Q205" s="5"/>
      <c r="R205" s="5"/>
      <c r="S205" s="5"/>
      <c r="T205" s="5"/>
      <c r="U205" s="5"/>
      <c r="V205" s="5"/>
      <c r="W205" s="5"/>
      <c r="X205" s="5"/>
      <c r="Y205" s="5"/>
    </row>
    <row r="206" spans="1:25" x14ac:dyDescent="0.2">
      <c r="A206" s="571" t="s">
        <v>2187</v>
      </c>
      <c r="B206" s="265">
        <f>+B205*B202/B204</f>
        <v>5.0086204518507405</v>
      </c>
      <c r="C206" s="571" t="s">
        <v>2188</v>
      </c>
      <c r="D206" s="5"/>
      <c r="E206" s="5"/>
      <c r="F206" s="5"/>
      <c r="G206" s="571"/>
      <c r="H206" s="571"/>
      <c r="I206" s="571" t="s">
        <v>2187</v>
      </c>
      <c r="J206" s="265">
        <f>+J205*J202/J204</f>
        <v>5.0086204518507405</v>
      </c>
      <c r="K206" s="571" t="s">
        <v>2188</v>
      </c>
      <c r="L206" s="5"/>
      <c r="M206" s="5"/>
      <c r="N206" s="571"/>
      <c r="O206" s="571"/>
      <c r="P206" s="571"/>
      <c r="Q206" s="5"/>
      <c r="R206" s="5"/>
      <c r="S206" s="5"/>
      <c r="T206" s="5"/>
      <c r="U206" s="5"/>
      <c r="V206" s="5"/>
      <c r="W206" s="5"/>
      <c r="X206" s="5"/>
      <c r="Y206" s="5"/>
    </row>
    <row r="207" spans="1:25" x14ac:dyDescent="0.2">
      <c r="A207" s="5"/>
      <c r="B207" s="5"/>
      <c r="C207" s="5"/>
      <c r="D207" s="5"/>
      <c r="E207" s="571"/>
      <c r="F207" s="571"/>
      <c r="G207" s="571"/>
      <c r="H207" s="571"/>
      <c r="I207" s="5"/>
      <c r="J207" s="5"/>
      <c r="K207" s="5"/>
      <c r="L207" s="5"/>
      <c r="M207" s="571"/>
      <c r="N207" s="571"/>
      <c r="O207" s="571"/>
      <c r="P207" s="571"/>
      <c r="Q207" s="5"/>
      <c r="R207" s="5"/>
      <c r="S207" s="5"/>
      <c r="T207" s="5"/>
      <c r="U207" s="5"/>
      <c r="V207" s="5"/>
      <c r="W207" s="5"/>
      <c r="X207" s="5"/>
      <c r="Y207" s="5"/>
    </row>
    <row r="208" spans="1:25" x14ac:dyDescent="0.2">
      <c r="A208" s="5"/>
      <c r="B208" s="693">
        <f>B205/B204</f>
        <v>1.4310344148144973</v>
      </c>
      <c r="C208" s="694" t="str">
        <f>IF(B208&gt;1,"OK","ERROR")</f>
        <v>OK</v>
      </c>
      <c r="D208" s="571"/>
      <c r="E208" s="5"/>
      <c r="F208" s="5"/>
      <c r="G208" s="5"/>
      <c r="H208" s="5"/>
      <c r="I208" s="5"/>
      <c r="J208" s="5"/>
      <c r="K208" s="571" t="s">
        <v>2120</v>
      </c>
      <c r="L208" s="693">
        <f>J205/J204</f>
        <v>1.4310344148144973</v>
      </c>
      <c r="M208" s="694" t="str">
        <f>IF(L208&gt;1,"OK","ERROR")</f>
        <v>OK</v>
      </c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92" t="s">
        <v>2189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</sheetData>
  <mergeCells count="190">
    <mergeCell ref="K100:P100"/>
    <mergeCell ref="K107:P107"/>
    <mergeCell ref="I112:P113"/>
    <mergeCell ref="L124:P124"/>
    <mergeCell ref="I166:O167"/>
    <mergeCell ref="L160:P160"/>
    <mergeCell ref="I161:K161"/>
    <mergeCell ref="M161:N161"/>
    <mergeCell ref="O161:P161"/>
    <mergeCell ref="I162:K162"/>
    <mergeCell ref="M162:N162"/>
    <mergeCell ref="I128:K128"/>
    <mergeCell ref="M128:N128"/>
    <mergeCell ref="I130:P132"/>
    <mergeCell ref="L158:P158"/>
    <mergeCell ref="L159:P159"/>
    <mergeCell ref="K101:P101"/>
    <mergeCell ref="L125:P125"/>
    <mergeCell ref="L126:P126"/>
    <mergeCell ref="I127:K127"/>
    <mergeCell ref="M127:N127"/>
    <mergeCell ref="O127:P127"/>
    <mergeCell ref="K102:P102"/>
    <mergeCell ref="K106:P106"/>
    <mergeCell ref="K62:P62"/>
    <mergeCell ref="K69:P70"/>
    <mergeCell ref="K71:P71"/>
    <mergeCell ref="K73:P73"/>
    <mergeCell ref="K74:P74"/>
    <mergeCell ref="K96:P96"/>
    <mergeCell ref="K97:P97"/>
    <mergeCell ref="K98:P98"/>
    <mergeCell ref="K99:P99"/>
    <mergeCell ref="L88:P88"/>
    <mergeCell ref="I89:K89"/>
    <mergeCell ref="M89:N89"/>
    <mergeCell ref="O89:P89"/>
    <mergeCell ref="I90:K90"/>
    <mergeCell ref="M90:N90"/>
    <mergeCell ref="K79:P79"/>
    <mergeCell ref="L86:P86"/>
    <mergeCell ref="L87:P87"/>
    <mergeCell ref="K56:P56"/>
    <mergeCell ref="K57:P57"/>
    <mergeCell ref="K58:P59"/>
    <mergeCell ref="K60:P60"/>
    <mergeCell ref="K61:P61"/>
    <mergeCell ref="I46:K46"/>
    <mergeCell ref="M46:N46"/>
    <mergeCell ref="K48:P49"/>
    <mergeCell ref="K50:P50"/>
    <mergeCell ref="I54:P54"/>
    <mergeCell ref="L43:P43"/>
    <mergeCell ref="L44:P44"/>
    <mergeCell ref="I45:K45"/>
    <mergeCell ref="M45:N45"/>
    <mergeCell ref="O45:P45"/>
    <mergeCell ref="K36:P36"/>
    <mergeCell ref="K37:P37"/>
    <mergeCell ref="K38:P38"/>
    <mergeCell ref="K39:P39"/>
    <mergeCell ref="L42:P42"/>
    <mergeCell ref="K31:P31"/>
    <mergeCell ref="K32:P32"/>
    <mergeCell ref="K33:P33"/>
    <mergeCell ref="K34:P34"/>
    <mergeCell ref="K35:P35"/>
    <mergeCell ref="K26:P26"/>
    <mergeCell ref="K27:P27"/>
    <mergeCell ref="K28:P28"/>
    <mergeCell ref="K29:P29"/>
    <mergeCell ref="K30:P30"/>
    <mergeCell ref="K17:P17"/>
    <mergeCell ref="K18:P18"/>
    <mergeCell ref="K19:P19"/>
    <mergeCell ref="K24:P24"/>
    <mergeCell ref="K25:P25"/>
    <mergeCell ref="K12:P12"/>
    <mergeCell ref="K13:P13"/>
    <mergeCell ref="K14:P14"/>
    <mergeCell ref="K15:P15"/>
    <mergeCell ref="K16:P16"/>
    <mergeCell ref="I5:K5"/>
    <mergeCell ref="M5:N5"/>
    <mergeCell ref="K9:P9"/>
    <mergeCell ref="K10:P10"/>
    <mergeCell ref="K11:P11"/>
    <mergeCell ref="L1:P1"/>
    <mergeCell ref="L2:P2"/>
    <mergeCell ref="L3:P3"/>
    <mergeCell ref="I4:K4"/>
    <mergeCell ref="M4:N4"/>
    <mergeCell ref="O4:P4"/>
    <mergeCell ref="A130:H132"/>
    <mergeCell ref="C71:H71"/>
    <mergeCell ref="C73:H73"/>
    <mergeCell ref="A127:C127"/>
    <mergeCell ref="G127:H127"/>
    <mergeCell ref="A128:C128"/>
    <mergeCell ref="D124:H124"/>
    <mergeCell ref="D125:H125"/>
    <mergeCell ref="E127:F127"/>
    <mergeCell ref="E128:F128"/>
    <mergeCell ref="D126:H126"/>
    <mergeCell ref="C98:H98"/>
    <mergeCell ref="E89:F89"/>
    <mergeCell ref="E90:F90"/>
    <mergeCell ref="G89:H89"/>
    <mergeCell ref="A112:H113"/>
    <mergeCell ref="C56:H56"/>
    <mergeCell ref="C57:H57"/>
    <mergeCell ref="C58:H59"/>
    <mergeCell ref="C48:H49"/>
    <mergeCell ref="C60:H60"/>
    <mergeCell ref="C61:H61"/>
    <mergeCell ref="T118:Y118"/>
    <mergeCell ref="C74:H74"/>
    <mergeCell ref="C75:H75"/>
    <mergeCell ref="C79:H79"/>
    <mergeCell ref="C101:H101"/>
    <mergeCell ref="D86:H86"/>
    <mergeCell ref="C107:H107"/>
    <mergeCell ref="A89:C89"/>
    <mergeCell ref="D88:H88"/>
    <mergeCell ref="D87:H87"/>
    <mergeCell ref="C106:H106"/>
    <mergeCell ref="C99:H99"/>
    <mergeCell ref="C102:H102"/>
    <mergeCell ref="A90:C90"/>
    <mergeCell ref="C96:H96"/>
    <mergeCell ref="C97:H97"/>
    <mergeCell ref="K75:P75"/>
    <mergeCell ref="K77:P78"/>
    <mergeCell ref="G45:H45"/>
    <mergeCell ref="D42:H42"/>
    <mergeCell ref="D43:H43"/>
    <mergeCell ref="D44:H44"/>
    <mergeCell ref="C38:H38"/>
    <mergeCell ref="C31:H31"/>
    <mergeCell ref="A54:H54"/>
    <mergeCell ref="E46:F46"/>
    <mergeCell ref="C50:H50"/>
    <mergeCell ref="D1:H1"/>
    <mergeCell ref="D2:H2"/>
    <mergeCell ref="C14:H14"/>
    <mergeCell ref="C30:H30"/>
    <mergeCell ref="C15:H15"/>
    <mergeCell ref="C16:H16"/>
    <mergeCell ref="C17:H17"/>
    <mergeCell ref="C18:H18"/>
    <mergeCell ref="A5:C5"/>
    <mergeCell ref="C9:H9"/>
    <mergeCell ref="C13:H13"/>
    <mergeCell ref="C27:H27"/>
    <mergeCell ref="C10:H10"/>
    <mergeCell ref="C11:H11"/>
    <mergeCell ref="C12:H12"/>
    <mergeCell ref="C25:H25"/>
    <mergeCell ref="C26:H26"/>
    <mergeCell ref="C19:H19"/>
    <mergeCell ref="C28:H28"/>
    <mergeCell ref="C24:H24"/>
    <mergeCell ref="D3:H3"/>
    <mergeCell ref="E4:F4"/>
    <mergeCell ref="E5:F5"/>
    <mergeCell ref="A4:C4"/>
    <mergeCell ref="G4:H4"/>
    <mergeCell ref="A162:C162"/>
    <mergeCell ref="E162:F162"/>
    <mergeCell ref="A166:G167"/>
    <mergeCell ref="D158:H158"/>
    <mergeCell ref="D159:H159"/>
    <mergeCell ref="D160:H160"/>
    <mergeCell ref="A161:C161"/>
    <mergeCell ref="E161:F161"/>
    <mergeCell ref="G161:H161"/>
    <mergeCell ref="C39:H39"/>
    <mergeCell ref="E45:F45"/>
    <mergeCell ref="C34:H34"/>
    <mergeCell ref="C35:H35"/>
    <mergeCell ref="C36:H36"/>
    <mergeCell ref="C37:H37"/>
    <mergeCell ref="C69:H70"/>
    <mergeCell ref="C77:H78"/>
    <mergeCell ref="A46:C46"/>
    <mergeCell ref="C62:H62"/>
    <mergeCell ref="C32:H32"/>
    <mergeCell ref="C33:H33"/>
    <mergeCell ref="C29:H29"/>
    <mergeCell ref="A45:C45"/>
  </mergeCells>
  <pageMargins left="0.74803149606299213" right="0.74803149606299213" top="0.98425196850393704" bottom="0.98425196850393704" header="0" footer="0"/>
  <pageSetup paperSize="9" scale="83" fitToHeight="0" orientation="portrait"/>
  <rowBreaks count="8" manualBreakCount="8">
    <brk id="41" max="7" man="1"/>
    <brk id="41" min="8" max="15" man="1"/>
    <brk id="85" max="7" man="1"/>
    <brk id="85" min="8" max="15" man="1"/>
    <brk id="123" max="7" man="1"/>
    <brk id="123" min="8" max="15" man="1"/>
    <brk id="157" max="7" man="1"/>
    <brk id="157" min="8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Y210"/>
  <sheetViews>
    <sheetView zoomScale="70" workbookViewId="0">
      <selection activeCell="E140" sqref="E140"/>
    </sheetView>
    <sheetView tabSelected="1" workbookViewId="1">
      <selection sqref="A1:AK5"/>
    </sheetView>
  </sheetViews>
  <sheetFormatPr defaultColWidth="9.140625" defaultRowHeight="12.75" x14ac:dyDescent="0.2"/>
  <cols>
    <col min="1" max="1" width="10.85546875" customWidth="1"/>
    <col min="2" max="2" width="14" customWidth="1"/>
    <col min="3" max="3" width="9.140625" customWidth="1"/>
    <col min="4" max="4" width="11.85546875" customWidth="1"/>
    <col min="5" max="5" width="10.42578125" customWidth="1"/>
    <col min="6" max="6" width="8.140625" customWidth="1"/>
    <col min="7" max="7" width="7.85546875" customWidth="1"/>
    <col min="8" max="8" width="10.5703125" customWidth="1"/>
    <col min="9" max="9" width="12.85546875" customWidth="1"/>
    <col min="10" max="12" width="12.140625" customWidth="1"/>
    <col min="13" max="13" width="14" customWidth="1"/>
    <col min="14" max="14" width="13.140625" customWidth="1"/>
    <col min="15" max="15" width="13.42578125" customWidth="1"/>
    <col min="16" max="16" width="13.140625" customWidth="1"/>
    <col min="18" max="18" width="11.140625" customWidth="1"/>
    <col min="26" max="26" width="8.140625" customWidth="1"/>
  </cols>
  <sheetData>
    <row r="1" spans="1:25" ht="17.25" customHeight="1" thickTop="1" thickBot="1" x14ac:dyDescent="0.3">
      <c r="A1" s="668"/>
      <c r="B1" s="669"/>
      <c r="C1" s="670"/>
      <c r="D1" s="1056" t="str">
        <f>'Front Page'!$A$13</f>
        <v>Mechanical  Calculations</v>
      </c>
      <c r="E1" s="842"/>
      <c r="F1" s="842"/>
      <c r="G1" s="842"/>
      <c r="H1" s="859"/>
      <c r="I1" s="668"/>
      <c r="J1" s="669"/>
      <c r="K1" s="670"/>
      <c r="L1" s="1056" t="str">
        <f>'Front Page'!$A$13</f>
        <v>Mechanical  Calculations</v>
      </c>
      <c r="M1" s="842"/>
      <c r="N1" s="842"/>
      <c r="O1" s="842"/>
      <c r="P1" s="859"/>
      <c r="Q1" s="5"/>
      <c r="R1" s="5"/>
      <c r="S1" s="5"/>
      <c r="T1" s="5"/>
      <c r="U1" s="5"/>
      <c r="V1" s="5"/>
      <c r="W1" s="5"/>
      <c r="X1" s="5"/>
      <c r="Y1" s="5"/>
    </row>
    <row r="2" spans="1:25" ht="16.5" customHeight="1" thickBot="1" x14ac:dyDescent="0.3">
      <c r="A2" s="671"/>
      <c r="B2" s="433"/>
      <c r="C2" s="450"/>
      <c r="D2" s="1057"/>
      <c r="E2" s="831"/>
      <c r="F2" s="831"/>
      <c r="G2" s="831"/>
      <c r="H2" s="854"/>
      <c r="I2" s="671"/>
      <c r="J2" s="433"/>
      <c r="K2" s="450"/>
      <c r="L2" s="1057"/>
      <c r="M2" s="831"/>
      <c r="N2" s="831"/>
      <c r="O2" s="831"/>
      <c r="P2" s="854"/>
      <c r="Q2" s="5"/>
      <c r="R2" s="5"/>
      <c r="S2" s="5"/>
      <c r="T2" s="5"/>
      <c r="U2" s="5"/>
      <c r="V2" s="5"/>
      <c r="W2" s="5"/>
      <c r="X2" s="5"/>
      <c r="Y2" s="5"/>
    </row>
    <row r="3" spans="1:25" ht="16.5" customHeight="1" thickBot="1" x14ac:dyDescent="0.3">
      <c r="A3" s="672"/>
      <c r="B3" s="673"/>
      <c r="C3" s="674"/>
      <c r="D3" s="1060" t="s">
        <v>1954</v>
      </c>
      <c r="E3" s="834"/>
      <c r="F3" s="834"/>
      <c r="G3" s="834"/>
      <c r="H3" s="986"/>
      <c r="I3" s="672"/>
      <c r="J3" s="673"/>
      <c r="K3" s="674"/>
      <c r="L3" s="1060" t="s">
        <v>1954</v>
      </c>
      <c r="M3" s="834"/>
      <c r="N3" s="834"/>
      <c r="O3" s="834"/>
      <c r="P3" s="986"/>
      <c r="Q3" s="5"/>
      <c r="R3" s="5"/>
      <c r="S3" s="5"/>
      <c r="T3" s="5"/>
      <c r="U3" s="5"/>
      <c r="V3" s="5"/>
      <c r="W3" s="5"/>
      <c r="X3" s="5"/>
      <c r="Y3" s="5"/>
    </row>
    <row r="4" spans="1:25" ht="16.5" customHeight="1" thickTop="1" thickBot="1" x14ac:dyDescent="0.3">
      <c r="A4" s="1062"/>
      <c r="B4" s="848"/>
      <c r="C4" s="865"/>
      <c r="D4" s="675" t="str">
        <f>'Front Page'!$D$4</f>
        <v>Doc Nº</v>
      </c>
      <c r="E4" s="1052"/>
      <c r="F4" s="843"/>
      <c r="G4" s="1052"/>
      <c r="H4" s="843"/>
      <c r="I4" s="1062"/>
      <c r="J4" s="848"/>
      <c r="K4" s="865"/>
      <c r="L4" s="675" t="str">
        <f>'Front Page'!$D$4</f>
        <v>Doc Nº</v>
      </c>
      <c r="M4" s="1052"/>
      <c r="N4" s="843"/>
      <c r="O4" s="1052"/>
      <c r="P4" s="843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thickBot="1" x14ac:dyDescent="0.3">
      <c r="A5" s="1058"/>
      <c r="B5" s="851"/>
      <c r="C5" s="861"/>
      <c r="D5" s="676" t="str">
        <f>'Front Page'!$D$5</f>
        <v>Project</v>
      </c>
      <c r="E5" s="1061"/>
      <c r="F5" s="835"/>
      <c r="G5" s="677" t="s">
        <v>5</v>
      </c>
      <c r="H5" s="678"/>
      <c r="I5" s="1058"/>
      <c r="J5" s="851"/>
      <c r="K5" s="861"/>
      <c r="L5" s="676" t="str">
        <f>'Front Page'!$D$5</f>
        <v>Project</v>
      </c>
      <c r="M5" s="1061"/>
      <c r="N5" s="835"/>
      <c r="O5" s="677" t="s">
        <v>5</v>
      </c>
      <c r="P5" s="679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thickTop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0.25" customHeight="1" x14ac:dyDescent="0.3">
      <c r="A7" s="63" t="s">
        <v>1955</v>
      </c>
      <c r="B7" s="5"/>
      <c r="C7" s="5"/>
      <c r="D7" s="5"/>
      <c r="E7" s="5"/>
      <c r="F7" s="5"/>
      <c r="G7" s="5"/>
      <c r="H7" s="5"/>
      <c r="I7" s="63" t="s">
        <v>2190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2.75" customHeight="1" x14ac:dyDescent="0.2">
      <c r="A9" s="5" t="s">
        <v>1957</v>
      </c>
      <c r="B9" s="433">
        <f>0.47*B12</f>
        <v>1.081</v>
      </c>
      <c r="C9" s="1053" t="s">
        <v>1958</v>
      </c>
      <c r="D9" s="809"/>
      <c r="E9" s="809"/>
      <c r="F9" s="809"/>
      <c r="G9" s="809"/>
      <c r="H9" s="809"/>
      <c r="I9" s="5" t="s">
        <v>1957</v>
      </c>
      <c r="J9" s="641">
        <f t="shared" ref="J9:J19" si="0">B9</f>
        <v>1.081</v>
      </c>
      <c r="K9" s="1053" t="s">
        <v>1958</v>
      </c>
      <c r="L9" s="809"/>
      <c r="M9" s="809"/>
      <c r="N9" s="809"/>
      <c r="O9" s="809"/>
      <c r="P9" s="809"/>
      <c r="Q9" s="5"/>
      <c r="R9" s="5"/>
      <c r="S9" s="5"/>
      <c r="T9" s="5"/>
      <c r="U9" s="5"/>
      <c r="V9" s="5"/>
      <c r="W9" s="5"/>
      <c r="X9" s="5"/>
      <c r="Y9" s="5"/>
    </row>
    <row r="10" spans="1:25" ht="12.75" customHeight="1" x14ac:dyDescent="0.2">
      <c r="A10" s="5" t="s">
        <v>1959</v>
      </c>
      <c r="B10" s="680">
        <v>0</v>
      </c>
      <c r="C10" s="1053" t="s">
        <v>1960</v>
      </c>
      <c r="D10" s="809"/>
      <c r="E10" s="809"/>
      <c r="F10" s="809"/>
      <c r="G10" s="809"/>
      <c r="H10" s="809"/>
      <c r="I10" s="5" t="s">
        <v>1959</v>
      </c>
      <c r="J10" s="681">
        <f t="shared" si="0"/>
        <v>0</v>
      </c>
      <c r="K10" s="1053" t="s">
        <v>1960</v>
      </c>
      <c r="L10" s="809"/>
      <c r="M10" s="809"/>
      <c r="N10" s="809"/>
      <c r="O10" s="809"/>
      <c r="P10" s="809"/>
      <c r="Q10" s="5"/>
      <c r="R10" s="5"/>
      <c r="S10" s="5"/>
      <c r="T10" s="5"/>
      <c r="U10" s="5"/>
      <c r="V10" s="5"/>
      <c r="W10" s="5"/>
      <c r="X10" s="5"/>
      <c r="Y10" s="5"/>
    </row>
    <row r="11" spans="1:25" ht="27" customHeight="1" x14ac:dyDescent="0.2">
      <c r="A11" s="5" t="s">
        <v>1961</v>
      </c>
      <c r="B11" s="216">
        <v>4</v>
      </c>
      <c r="C11" s="1053" t="s">
        <v>1962</v>
      </c>
      <c r="D11" s="809"/>
      <c r="E11" s="809"/>
      <c r="F11" s="809"/>
      <c r="G11" s="809"/>
      <c r="H11" s="809"/>
      <c r="I11" s="5" t="s">
        <v>1961</v>
      </c>
      <c r="J11" s="274">
        <f t="shared" si="0"/>
        <v>4</v>
      </c>
      <c r="K11" s="1053" t="s">
        <v>1962</v>
      </c>
      <c r="L11" s="809"/>
      <c r="M11" s="809"/>
      <c r="N11" s="809"/>
      <c r="O11" s="809"/>
      <c r="P11" s="809"/>
      <c r="Q11" s="5"/>
      <c r="R11" s="592" t="s">
        <v>1963</v>
      </c>
      <c r="S11" s="5"/>
      <c r="T11" s="5"/>
      <c r="U11" s="5"/>
      <c r="V11" s="5"/>
      <c r="W11" s="5"/>
      <c r="X11" s="5"/>
      <c r="Y11" s="5"/>
    </row>
    <row r="12" spans="1:25" ht="28.5" customHeight="1" x14ac:dyDescent="0.2">
      <c r="A12" s="5" t="s">
        <v>1964</v>
      </c>
      <c r="B12" s="332">
        <v>2.2999999999999998</v>
      </c>
      <c r="C12" s="1059" t="s">
        <v>1965</v>
      </c>
      <c r="D12" s="809"/>
      <c r="E12" s="809"/>
      <c r="F12" s="809"/>
      <c r="G12" s="809"/>
      <c r="H12" s="809"/>
      <c r="I12" s="5" t="s">
        <v>1964</v>
      </c>
      <c r="J12" s="332">
        <f t="shared" si="0"/>
        <v>2.2999999999999998</v>
      </c>
      <c r="K12" s="1053" t="s">
        <v>1966</v>
      </c>
      <c r="L12" s="809"/>
      <c r="M12" s="809"/>
      <c r="N12" s="809"/>
      <c r="O12" s="809"/>
      <c r="P12" s="809"/>
      <c r="Q12" s="5"/>
      <c r="R12" s="592">
        <v>2.25</v>
      </c>
      <c r="S12" s="5"/>
      <c r="T12" s="5"/>
      <c r="U12" s="5"/>
      <c r="V12" s="5"/>
      <c r="W12" s="5"/>
      <c r="X12" s="5"/>
      <c r="Y12" s="5"/>
    </row>
    <row r="13" spans="1:25" ht="25.5" customHeight="1" x14ac:dyDescent="0.2">
      <c r="A13" s="5" t="s">
        <v>1967</v>
      </c>
      <c r="B13" s="332">
        <f>B19*B18*R13</f>
        <v>2.5</v>
      </c>
      <c r="C13" s="1059" t="s">
        <v>1968</v>
      </c>
      <c r="D13" s="809"/>
      <c r="E13" s="809"/>
      <c r="F13" s="809"/>
      <c r="G13" s="809"/>
      <c r="H13" s="809"/>
      <c r="I13" s="5" t="s">
        <v>1967</v>
      </c>
      <c r="J13" s="332">
        <f t="shared" si="0"/>
        <v>2.5</v>
      </c>
      <c r="K13" s="1053" t="s">
        <v>1969</v>
      </c>
      <c r="L13" s="809"/>
      <c r="M13" s="809"/>
      <c r="N13" s="809"/>
      <c r="O13" s="809"/>
      <c r="P13" s="809"/>
      <c r="Q13" s="5"/>
      <c r="R13" s="592">
        <v>2.5</v>
      </c>
      <c r="S13" s="5"/>
      <c r="T13" s="5"/>
      <c r="U13" s="5"/>
      <c r="V13" s="5"/>
      <c r="W13" s="5"/>
      <c r="X13" s="5"/>
      <c r="Y13" s="5"/>
    </row>
    <row r="14" spans="1:25" ht="12.75" customHeight="1" x14ac:dyDescent="0.2">
      <c r="A14" s="5" t="s">
        <v>1971</v>
      </c>
      <c r="B14" s="216">
        <f>'Earthquake API 650 OLE'!B14</f>
        <v>1</v>
      </c>
      <c r="C14" s="1053" t="s">
        <v>1972</v>
      </c>
      <c r="D14" s="809"/>
      <c r="E14" s="809"/>
      <c r="F14" s="809"/>
      <c r="G14" s="809"/>
      <c r="H14" s="809"/>
      <c r="I14" s="5" t="s">
        <v>1971</v>
      </c>
      <c r="J14" s="274">
        <f t="shared" si="0"/>
        <v>1</v>
      </c>
      <c r="K14" s="1053" t="s">
        <v>1972</v>
      </c>
      <c r="L14" s="809"/>
      <c r="M14" s="809"/>
      <c r="N14" s="809"/>
      <c r="O14" s="809"/>
      <c r="P14" s="809"/>
      <c r="Q14" s="5"/>
      <c r="R14" s="5"/>
      <c r="S14" s="5"/>
      <c r="T14" s="5"/>
      <c r="U14" s="5"/>
      <c r="V14" s="5"/>
      <c r="W14" s="5"/>
      <c r="X14" s="5"/>
      <c r="Y14" s="5"/>
    </row>
    <row r="15" spans="1:25" ht="12.75" customHeight="1" x14ac:dyDescent="0.2">
      <c r="A15" s="5" t="s">
        <v>190</v>
      </c>
      <c r="B15" s="259">
        <v>1.5</v>
      </c>
      <c r="C15" s="1053" t="s">
        <v>1974</v>
      </c>
      <c r="D15" s="809"/>
      <c r="E15" s="809"/>
      <c r="F15" s="809"/>
      <c r="G15" s="809"/>
      <c r="H15" s="809"/>
      <c r="I15" s="5" t="s">
        <v>190</v>
      </c>
      <c r="J15" s="267">
        <f t="shared" si="0"/>
        <v>1.5</v>
      </c>
      <c r="K15" s="1053" t="s">
        <v>1974</v>
      </c>
      <c r="L15" s="809"/>
      <c r="M15" s="809"/>
      <c r="N15" s="809"/>
      <c r="O15" s="809"/>
      <c r="P15" s="809"/>
      <c r="Q15" s="5"/>
      <c r="R15" s="5"/>
      <c r="S15" s="5"/>
      <c r="T15" s="5"/>
      <c r="U15" s="5"/>
      <c r="V15" s="5"/>
      <c r="W15" s="5"/>
      <c r="X15" s="5"/>
      <c r="Y15" s="5"/>
    </row>
    <row r="16" spans="1:25" ht="26.25" customHeight="1" x14ac:dyDescent="0.2">
      <c r="A16" s="5" t="s">
        <v>1975</v>
      </c>
      <c r="B16" s="216">
        <v>1.75</v>
      </c>
      <c r="C16" s="1053" t="s">
        <v>1976</v>
      </c>
      <c r="D16" s="809"/>
      <c r="E16" s="809"/>
      <c r="F16" s="809"/>
      <c r="G16" s="809"/>
      <c r="H16" s="809"/>
      <c r="I16" s="5" t="s">
        <v>1975</v>
      </c>
      <c r="J16" s="274">
        <f t="shared" si="0"/>
        <v>1.75</v>
      </c>
      <c r="K16" s="1059" t="s">
        <v>1977</v>
      </c>
      <c r="L16" s="809"/>
      <c r="M16" s="809"/>
      <c r="N16" s="809"/>
      <c r="O16" s="809"/>
      <c r="P16" s="809"/>
      <c r="Q16" s="5"/>
      <c r="R16" s="5"/>
      <c r="S16" s="5"/>
      <c r="T16" s="5"/>
      <c r="U16" s="5"/>
      <c r="V16" s="5"/>
      <c r="W16" s="5"/>
      <c r="X16" s="5"/>
      <c r="Y16" s="5"/>
    </row>
    <row r="17" spans="1:25" ht="27.75" customHeight="1" x14ac:dyDescent="0.2">
      <c r="A17" s="5" t="s">
        <v>1978</v>
      </c>
      <c r="B17" s="216">
        <v>1</v>
      </c>
      <c r="C17" s="1053" t="s">
        <v>1979</v>
      </c>
      <c r="D17" s="809"/>
      <c r="E17" s="809"/>
      <c r="F17" s="809"/>
      <c r="G17" s="809"/>
      <c r="H17" s="809"/>
      <c r="I17" s="5" t="s">
        <v>1978</v>
      </c>
      <c r="J17" s="274">
        <f t="shared" si="0"/>
        <v>1</v>
      </c>
      <c r="K17" s="1059" t="s">
        <v>1977</v>
      </c>
      <c r="L17" s="809"/>
      <c r="M17" s="809"/>
      <c r="N17" s="809"/>
      <c r="O17" s="809"/>
      <c r="P17" s="809"/>
      <c r="Q17" s="5"/>
      <c r="R17" s="5"/>
      <c r="S17" s="5"/>
      <c r="T17" s="5"/>
      <c r="U17" s="5"/>
      <c r="V17" s="5"/>
      <c r="W17" s="5"/>
      <c r="X17" s="5"/>
      <c r="Y17" s="5"/>
    </row>
    <row r="18" spans="1:25" ht="12.75" customHeight="1" x14ac:dyDescent="0.2">
      <c r="A18" s="5" t="s">
        <v>1980</v>
      </c>
      <c r="B18" s="216">
        <f>'Earthquake API 650 OLE'!B18</f>
        <v>1</v>
      </c>
      <c r="C18" s="1053" t="s">
        <v>1981</v>
      </c>
      <c r="D18" s="809"/>
      <c r="E18" s="809"/>
      <c r="F18" s="809"/>
      <c r="G18" s="809"/>
      <c r="H18" s="809"/>
      <c r="I18" s="5" t="s">
        <v>1980</v>
      </c>
      <c r="J18" s="274">
        <f t="shared" si="0"/>
        <v>1</v>
      </c>
      <c r="K18" s="1053" t="s">
        <v>1981</v>
      </c>
      <c r="L18" s="809"/>
      <c r="M18" s="809"/>
      <c r="N18" s="809"/>
      <c r="O18" s="809"/>
      <c r="P18" s="809"/>
      <c r="Q18" s="5"/>
      <c r="R18" s="5"/>
      <c r="S18" s="5"/>
      <c r="T18" s="5"/>
      <c r="U18" s="5"/>
      <c r="V18" s="5"/>
      <c r="W18" s="5"/>
      <c r="X18" s="5"/>
      <c r="Y18" s="5"/>
    </row>
    <row r="19" spans="1:25" ht="12.75" customHeight="1" x14ac:dyDescent="0.2">
      <c r="A19" s="5" t="s">
        <v>1982</v>
      </c>
      <c r="B19" s="216">
        <v>1</v>
      </c>
      <c r="C19" s="1053" t="s">
        <v>1983</v>
      </c>
      <c r="D19" s="809"/>
      <c r="E19" s="809"/>
      <c r="F19" s="809"/>
      <c r="G19" s="809"/>
      <c r="H19" s="809"/>
      <c r="I19" s="5" t="s">
        <v>1982</v>
      </c>
      <c r="J19" s="635">
        <f t="shared" si="0"/>
        <v>1</v>
      </c>
      <c r="K19" s="1053" t="s">
        <v>1983</v>
      </c>
      <c r="L19" s="809"/>
      <c r="M19" s="809"/>
      <c r="N19" s="809"/>
      <c r="O19" s="809"/>
      <c r="P19" s="809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0.25" customHeight="1" x14ac:dyDescent="0.3">
      <c r="A22" s="63" t="s">
        <v>1984</v>
      </c>
      <c r="B22" s="5"/>
      <c r="C22" s="5"/>
      <c r="D22" s="5"/>
      <c r="E22" s="5"/>
      <c r="F22" s="5"/>
      <c r="G22" s="5"/>
      <c r="H22" s="5"/>
      <c r="I22" s="63" t="s">
        <v>1984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.75" customHeight="1" x14ac:dyDescent="0.2">
      <c r="A24" s="82" t="s">
        <v>1985</v>
      </c>
      <c r="B24" s="682">
        <f>'Main Dimensions Calcs'!H19/1000</f>
        <v>3.75</v>
      </c>
      <c r="C24" s="1053" t="s">
        <v>1986</v>
      </c>
      <c r="D24" s="809"/>
      <c r="E24" s="809"/>
      <c r="F24" s="809"/>
      <c r="G24" s="809"/>
      <c r="H24" s="809"/>
      <c r="I24" s="82" t="s">
        <v>1985</v>
      </c>
      <c r="J24" s="683">
        <f>B24*1000/25.4</f>
        <v>147.63779527559055</v>
      </c>
      <c r="K24" s="1059" t="s">
        <v>1987</v>
      </c>
      <c r="L24" s="809"/>
      <c r="M24" s="809"/>
      <c r="N24" s="809"/>
      <c r="O24" s="809"/>
      <c r="P24" s="809"/>
      <c r="Q24" s="5"/>
      <c r="R24" s="5"/>
      <c r="S24" s="5"/>
      <c r="T24" s="5"/>
      <c r="U24" s="5"/>
      <c r="V24" s="5"/>
      <c r="W24" s="5"/>
      <c r="X24" s="5"/>
      <c r="Y24" s="5"/>
    </row>
    <row r="25" spans="1:25" ht="12.75" customHeight="1" x14ac:dyDescent="0.2">
      <c r="A25" s="82" t="s">
        <v>1988</v>
      </c>
      <c r="B25" s="682">
        <f>'Main Dimensions Calcs'!D60/1000+B37</f>
        <v>6.5088166926487503</v>
      </c>
      <c r="C25" s="1053" t="s">
        <v>1989</v>
      </c>
      <c r="D25" s="809"/>
      <c r="E25" s="809"/>
      <c r="F25" s="809"/>
      <c r="G25" s="809"/>
      <c r="H25" s="809"/>
      <c r="I25" s="82" t="s">
        <v>1988</v>
      </c>
      <c r="J25" s="683">
        <f>B25*1000/25.4</f>
        <v>256.25262569483272</v>
      </c>
      <c r="K25" s="1059" t="s">
        <v>1990</v>
      </c>
      <c r="L25" s="809"/>
      <c r="M25" s="809"/>
      <c r="N25" s="809"/>
      <c r="O25" s="809"/>
      <c r="P25" s="809"/>
      <c r="Q25" s="5"/>
      <c r="R25" s="5"/>
      <c r="S25" s="5"/>
      <c r="T25" s="5"/>
      <c r="U25" s="5"/>
      <c r="V25" s="5"/>
      <c r="W25" s="5"/>
      <c r="X25" s="5"/>
      <c r="Y25" s="5"/>
    </row>
    <row r="26" spans="1:25" ht="28.5" customHeight="1" x14ac:dyDescent="0.2">
      <c r="A26" s="82" t="s">
        <v>1991</v>
      </c>
      <c r="B26" s="682">
        <v>206.8</v>
      </c>
      <c r="C26" s="932" t="s">
        <v>1992</v>
      </c>
      <c r="D26" s="809"/>
      <c r="E26" s="809"/>
      <c r="F26" s="809"/>
      <c r="G26" s="809"/>
      <c r="H26" s="809"/>
      <c r="I26" s="82" t="s">
        <v>1991</v>
      </c>
      <c r="J26" s="683">
        <v>206.8</v>
      </c>
      <c r="K26" s="932" t="s">
        <v>1992</v>
      </c>
      <c r="L26" s="809"/>
      <c r="M26" s="809"/>
      <c r="N26" s="809"/>
      <c r="O26" s="809"/>
      <c r="P26" s="809"/>
      <c r="Q26" s="5"/>
      <c r="R26" s="5"/>
      <c r="S26" s="5"/>
      <c r="T26" s="5"/>
      <c r="U26" s="5"/>
      <c r="V26" s="5"/>
      <c r="W26" s="5"/>
      <c r="X26" s="5"/>
      <c r="Y26" s="5"/>
    </row>
    <row r="27" spans="1:25" ht="36.75" customHeight="1" x14ac:dyDescent="0.2">
      <c r="A27" s="82" t="s">
        <v>1993</v>
      </c>
      <c r="B27" s="684">
        <v>8</v>
      </c>
      <c r="C27" s="982" t="s">
        <v>1994</v>
      </c>
      <c r="D27" s="809"/>
      <c r="E27" s="809"/>
      <c r="F27" s="809"/>
      <c r="G27" s="809"/>
      <c r="H27" s="809"/>
      <c r="I27" s="82" t="s">
        <v>1993</v>
      </c>
      <c r="J27" s="683">
        <f>B27/25.4</f>
        <v>0.31496062992125984</v>
      </c>
      <c r="K27" s="901" t="s">
        <v>1995</v>
      </c>
      <c r="L27" s="809"/>
      <c r="M27" s="809"/>
      <c r="N27" s="809"/>
      <c r="O27" s="809"/>
      <c r="P27" s="809"/>
      <c r="Q27" s="5"/>
      <c r="R27" s="5"/>
      <c r="S27" s="5"/>
      <c r="T27" s="5"/>
      <c r="U27" s="5"/>
      <c r="V27" s="5"/>
      <c r="W27" s="5"/>
      <c r="X27" s="5"/>
      <c r="Y27" s="5"/>
    </row>
    <row r="28" spans="1:25" ht="27" customHeight="1" x14ac:dyDescent="0.2">
      <c r="A28" s="82" t="s">
        <v>1996</v>
      </c>
      <c r="B28" s="685">
        <f>'Loads on slab'!H34*9.8/(PI()*B36)</f>
        <v>77.25</v>
      </c>
      <c r="C28" s="982" t="s">
        <v>1997</v>
      </c>
      <c r="D28" s="809"/>
      <c r="E28" s="809"/>
      <c r="F28" s="809"/>
      <c r="G28" s="809"/>
      <c r="H28" s="809"/>
      <c r="I28" s="82" t="s">
        <v>1996</v>
      </c>
      <c r="J28" s="683">
        <f>B28</f>
        <v>77.25</v>
      </c>
      <c r="K28" s="982" t="s">
        <v>1997</v>
      </c>
      <c r="L28" s="809"/>
      <c r="M28" s="809"/>
      <c r="N28" s="809"/>
      <c r="O28" s="809"/>
      <c r="P28" s="809"/>
      <c r="Q28" s="5"/>
      <c r="R28" s="5"/>
      <c r="S28" s="5"/>
      <c r="T28" s="5"/>
      <c r="U28" s="5"/>
      <c r="V28" s="5"/>
      <c r="W28" s="5"/>
      <c r="X28" s="5"/>
      <c r="Y28" s="5"/>
    </row>
    <row r="29" spans="1:25" ht="26.25" customHeight="1" x14ac:dyDescent="0.2">
      <c r="A29" s="82" t="s">
        <v>1998</v>
      </c>
      <c r="B29" s="682">
        <f>'Weight Calculations'!H71*9.8/(B36*PI())</f>
        <v>5676.1051705299096</v>
      </c>
      <c r="C29" s="1053" t="s">
        <v>1999</v>
      </c>
      <c r="D29" s="809"/>
      <c r="E29" s="809"/>
      <c r="F29" s="809"/>
      <c r="G29" s="809"/>
      <c r="H29" s="809"/>
      <c r="I29" s="82" t="s">
        <v>1998</v>
      </c>
      <c r="J29" s="683">
        <f>B29</f>
        <v>5676.1051705299096</v>
      </c>
      <c r="K29" s="1053" t="s">
        <v>1999</v>
      </c>
      <c r="L29" s="809"/>
      <c r="M29" s="809"/>
      <c r="N29" s="809"/>
      <c r="O29" s="809"/>
      <c r="P29" s="809"/>
      <c r="Q29" s="5"/>
      <c r="R29" s="5"/>
      <c r="S29" s="5"/>
      <c r="T29" s="5"/>
      <c r="U29" s="5"/>
      <c r="V29" s="5"/>
      <c r="W29" s="5"/>
      <c r="X29" s="5"/>
      <c r="Y29" s="5"/>
    </row>
    <row r="30" spans="1:25" ht="12.75" customHeight="1" x14ac:dyDescent="0.2">
      <c r="A30" s="82" t="s">
        <v>1712</v>
      </c>
      <c r="B30" s="685">
        <f>'Main Dimensions Calcs'!H7</f>
        <v>8</v>
      </c>
      <c r="C30" s="1053" t="s">
        <v>2000</v>
      </c>
      <c r="D30" s="809"/>
      <c r="E30" s="809"/>
      <c r="F30" s="809"/>
      <c r="G30" s="809"/>
      <c r="H30" s="809"/>
      <c r="I30" s="82" t="s">
        <v>1712</v>
      </c>
      <c r="J30" s="683">
        <f>B30/25.4</f>
        <v>0.31496062992125984</v>
      </c>
      <c r="K30" s="1059" t="s">
        <v>2001</v>
      </c>
      <c r="L30" s="809"/>
      <c r="M30" s="809"/>
      <c r="N30" s="809"/>
      <c r="O30" s="809"/>
      <c r="P30" s="809"/>
      <c r="Q30" s="5"/>
      <c r="R30" s="5"/>
      <c r="S30" s="5"/>
      <c r="T30" s="5"/>
      <c r="U30" s="5"/>
      <c r="V30" s="5"/>
      <c r="W30" s="5"/>
      <c r="X30" s="5"/>
      <c r="Y30" s="5"/>
    </row>
    <row r="31" spans="1:25" ht="12.75" customHeight="1" x14ac:dyDescent="0.2">
      <c r="A31" s="82" t="s">
        <v>2002</v>
      </c>
      <c r="B31" s="685">
        <f>'Design Conditions'!G33/1000</f>
        <v>0.80800000000000005</v>
      </c>
      <c r="C31" s="1053" t="s">
        <v>2003</v>
      </c>
      <c r="D31" s="809"/>
      <c r="E31" s="809"/>
      <c r="F31" s="809"/>
      <c r="G31" s="809"/>
      <c r="H31" s="809"/>
      <c r="I31" s="82" t="s">
        <v>2002</v>
      </c>
      <c r="J31" s="683">
        <f>B31</f>
        <v>0.80800000000000005</v>
      </c>
      <c r="K31" s="1053" t="s">
        <v>2003</v>
      </c>
      <c r="L31" s="809"/>
      <c r="M31" s="809"/>
      <c r="N31" s="809"/>
      <c r="O31" s="809"/>
      <c r="P31" s="809"/>
      <c r="Q31" s="5"/>
      <c r="R31" s="5"/>
      <c r="S31" s="5"/>
      <c r="T31" s="5"/>
      <c r="U31" s="5"/>
      <c r="V31" s="5"/>
      <c r="W31" s="5"/>
      <c r="X31" s="5"/>
      <c r="Y31" s="5"/>
    </row>
    <row r="32" spans="1:25" ht="27" customHeight="1" x14ac:dyDescent="0.2">
      <c r="A32" s="82" t="s">
        <v>1150</v>
      </c>
      <c r="B32" s="682">
        <f>'Weight Calculations'!H70*9.8</f>
        <v>370914.75827718701</v>
      </c>
      <c r="C32" s="1055" t="s">
        <v>2004</v>
      </c>
      <c r="D32" s="809"/>
      <c r="E32" s="809"/>
      <c r="F32" s="809"/>
      <c r="G32" s="809"/>
      <c r="H32" s="809"/>
      <c r="I32" s="82" t="s">
        <v>1150</v>
      </c>
      <c r="J32" s="683">
        <f>B32*0.225</f>
        <v>83455.820612367083</v>
      </c>
      <c r="K32" s="1059" t="s">
        <v>2005</v>
      </c>
      <c r="L32" s="809"/>
      <c r="M32" s="809"/>
      <c r="N32" s="809"/>
      <c r="O32" s="809"/>
      <c r="P32" s="809"/>
      <c r="Q32" s="5"/>
      <c r="R32" s="5"/>
      <c r="S32" s="5"/>
      <c r="T32" s="5"/>
      <c r="U32" s="5"/>
      <c r="V32" s="5"/>
      <c r="W32" s="5"/>
      <c r="X32" s="5"/>
      <c r="Y32" s="5"/>
    </row>
    <row r="33" spans="1:25" ht="25.5" customHeight="1" x14ac:dyDescent="0.2">
      <c r="A33" s="82" t="s">
        <v>2006</v>
      </c>
      <c r="B33" s="682">
        <f>'Weight Calculations'!H71*9.8</f>
        <v>367339.41227764002</v>
      </c>
      <c r="C33" s="1053" t="s">
        <v>2007</v>
      </c>
      <c r="D33" s="809"/>
      <c r="E33" s="809"/>
      <c r="F33" s="809"/>
      <c r="G33" s="809"/>
      <c r="H33" s="809"/>
      <c r="I33" s="82" t="s">
        <v>2006</v>
      </c>
      <c r="J33" s="683">
        <f>B33*0.225</f>
        <v>82651.367762469003</v>
      </c>
      <c r="K33" s="1059" t="s">
        <v>2008</v>
      </c>
      <c r="L33" s="809"/>
      <c r="M33" s="809"/>
      <c r="N33" s="809"/>
      <c r="O33" s="809"/>
      <c r="P33" s="809"/>
      <c r="Q33" s="266" t="s">
        <v>2191</v>
      </c>
      <c r="R33" s="5"/>
      <c r="S33" s="5"/>
      <c r="T33" s="5"/>
      <c r="U33" s="5"/>
      <c r="V33" s="5"/>
      <c r="W33" s="5"/>
      <c r="X33" s="5"/>
      <c r="Y33" s="5"/>
    </row>
    <row r="34" spans="1:25" ht="12.75" customHeight="1" x14ac:dyDescent="0.2">
      <c r="A34" s="82" t="s">
        <v>2010</v>
      </c>
      <c r="B34" s="682">
        <f>'Weight Calculations'!H72*9.8</f>
        <v>144827.17402431578</v>
      </c>
      <c r="C34" s="1053" t="s">
        <v>2011</v>
      </c>
      <c r="D34" s="809"/>
      <c r="E34" s="809"/>
      <c r="F34" s="809"/>
      <c r="G34" s="809"/>
      <c r="H34" s="809"/>
      <c r="I34" s="82" t="s">
        <v>2010</v>
      </c>
      <c r="J34" s="683">
        <f>B34*0.225</f>
        <v>32586.114155471052</v>
      </c>
      <c r="K34" s="1059" t="s">
        <v>2012</v>
      </c>
      <c r="L34" s="809"/>
      <c r="M34" s="809"/>
      <c r="N34" s="809"/>
      <c r="O34" s="809"/>
      <c r="P34" s="809"/>
      <c r="Q34" s="5"/>
      <c r="R34" s="5"/>
      <c r="S34" s="5"/>
      <c r="T34" s="5"/>
      <c r="U34" s="5"/>
      <c r="V34" s="5"/>
      <c r="W34" s="5"/>
      <c r="X34" s="5"/>
      <c r="Y34" s="5"/>
    </row>
    <row r="35" spans="1:25" ht="12.75" customHeight="1" x14ac:dyDescent="0.2">
      <c r="A35" s="82" t="s">
        <v>213</v>
      </c>
      <c r="B35" s="682">
        <f>'Main Dimensions Calcs'!D51*PI()*('Main Dimensions Calcs'!D53/2000)^2*'Main Dimensions Calcs'!D11*9.8/1000</f>
        <v>11480241.274975793</v>
      </c>
      <c r="C35" s="1053" t="s">
        <v>2013</v>
      </c>
      <c r="D35" s="809"/>
      <c r="E35" s="809"/>
      <c r="F35" s="809"/>
      <c r="G35" s="809"/>
      <c r="H35" s="809"/>
      <c r="I35" s="82" t="s">
        <v>213</v>
      </c>
      <c r="J35" s="683">
        <f>B35*0.225</f>
        <v>2583054.2868695534</v>
      </c>
      <c r="K35" s="1059" t="s">
        <v>2014</v>
      </c>
      <c r="L35" s="809"/>
      <c r="M35" s="809"/>
      <c r="N35" s="809"/>
      <c r="O35" s="809"/>
      <c r="P35" s="809"/>
      <c r="Q35" s="5"/>
      <c r="R35" s="5"/>
      <c r="S35" s="5"/>
      <c r="T35" s="5"/>
      <c r="U35" s="5"/>
      <c r="V35" s="5"/>
      <c r="W35" s="5"/>
      <c r="X35" s="5"/>
      <c r="Y35" s="5"/>
    </row>
    <row r="36" spans="1:25" ht="12.75" customHeight="1" x14ac:dyDescent="0.2">
      <c r="A36" s="82" t="s">
        <v>196</v>
      </c>
      <c r="B36" s="682">
        <f>'Main Dimensions Calcs'!D53/1000</f>
        <v>20.6</v>
      </c>
      <c r="C36" s="1053" t="s">
        <v>2015</v>
      </c>
      <c r="D36" s="809"/>
      <c r="E36" s="809"/>
      <c r="F36" s="809"/>
      <c r="G36" s="809"/>
      <c r="H36" s="809"/>
      <c r="I36" s="82" t="s">
        <v>196</v>
      </c>
      <c r="J36" s="683">
        <f>B36/25.4*1000</f>
        <v>811.0236220472442</v>
      </c>
      <c r="K36" s="1059" t="s">
        <v>2016</v>
      </c>
      <c r="L36" s="809"/>
      <c r="M36" s="809"/>
      <c r="N36" s="809"/>
      <c r="O36" s="809"/>
      <c r="P36" s="809"/>
      <c r="Q36" s="5"/>
      <c r="R36" s="5"/>
      <c r="S36" s="5"/>
      <c r="T36" s="5"/>
      <c r="U36" s="5"/>
      <c r="V36" s="5"/>
      <c r="W36" s="5"/>
      <c r="X36" s="5"/>
      <c r="Y36" s="5"/>
    </row>
    <row r="37" spans="1:25" ht="12.75" customHeight="1" x14ac:dyDescent="0.2">
      <c r="A37" s="82" t="s">
        <v>911</v>
      </c>
      <c r="B37" s="682">
        <f>'Main Dimensions Calcs'!D51/1000</f>
        <v>4.3499999999999996</v>
      </c>
      <c r="C37" s="1053" t="s">
        <v>2017</v>
      </c>
      <c r="D37" s="809"/>
      <c r="E37" s="809"/>
      <c r="F37" s="809"/>
      <c r="G37" s="809"/>
      <c r="H37" s="809"/>
      <c r="I37" s="82" t="s">
        <v>911</v>
      </c>
      <c r="J37" s="683">
        <f>B37/25.4*1000</f>
        <v>171.25984251968504</v>
      </c>
      <c r="K37" s="1059" t="s">
        <v>2018</v>
      </c>
      <c r="L37" s="809"/>
      <c r="M37" s="809"/>
      <c r="N37" s="809"/>
      <c r="O37" s="809"/>
      <c r="P37" s="809"/>
      <c r="Q37" s="5"/>
      <c r="R37" s="5"/>
      <c r="S37" s="5"/>
      <c r="T37" s="5"/>
      <c r="U37" s="5"/>
      <c r="V37" s="5"/>
      <c r="W37" s="5"/>
      <c r="X37" s="5"/>
      <c r="Y37" s="5"/>
    </row>
    <row r="38" spans="1:25" ht="12.75" customHeight="1" x14ac:dyDescent="0.2">
      <c r="A38" s="82" t="s">
        <v>2019</v>
      </c>
      <c r="B38" s="682">
        <f>'Thermal calculation 2'!K79*9.8</f>
        <v>771655.50436793827</v>
      </c>
      <c r="C38" s="1053" t="s">
        <v>2020</v>
      </c>
      <c r="D38" s="809"/>
      <c r="E38" s="809"/>
      <c r="F38" s="809"/>
      <c r="G38" s="809"/>
      <c r="H38" s="809"/>
      <c r="I38" s="82" t="s">
        <v>2019</v>
      </c>
      <c r="J38" s="683">
        <f>B38*0.225</f>
        <v>173622.48848278611</v>
      </c>
      <c r="K38" s="1059" t="s">
        <v>2021</v>
      </c>
      <c r="L38" s="809"/>
      <c r="M38" s="809"/>
      <c r="N38" s="809"/>
      <c r="O38" s="809"/>
      <c r="P38" s="809"/>
      <c r="Q38" s="5"/>
      <c r="R38" s="5"/>
      <c r="S38" s="5"/>
      <c r="T38" s="5"/>
      <c r="U38" s="5"/>
      <c r="V38" s="5"/>
      <c r="W38" s="5"/>
      <c r="X38" s="5"/>
      <c r="Y38" s="5"/>
    </row>
    <row r="39" spans="1:25" ht="15.75" customHeight="1" x14ac:dyDescent="0.2">
      <c r="A39" s="82" t="s">
        <v>2022</v>
      </c>
      <c r="B39" s="685">
        <f>'Thermal calculation 2'!K82*9.8</f>
        <v>417493.01233851269</v>
      </c>
      <c r="C39" s="1053" t="s">
        <v>2023</v>
      </c>
      <c r="D39" s="809"/>
      <c r="E39" s="809"/>
      <c r="F39" s="809"/>
      <c r="G39" s="809"/>
      <c r="H39" s="809"/>
      <c r="I39" s="82" t="s">
        <v>2022</v>
      </c>
      <c r="J39" s="683">
        <f>B39*0.225</f>
        <v>93935.927776165365</v>
      </c>
      <c r="K39" s="1059" t="s">
        <v>2024</v>
      </c>
      <c r="L39" s="809"/>
      <c r="M39" s="809"/>
      <c r="N39" s="809"/>
      <c r="O39" s="809"/>
      <c r="P39" s="809"/>
      <c r="Q39" s="5"/>
      <c r="R39" s="5"/>
      <c r="S39" s="5"/>
      <c r="T39" s="5"/>
      <c r="U39" s="5"/>
      <c r="V39" s="5"/>
      <c r="W39" s="5"/>
      <c r="X39" s="5"/>
      <c r="Y39" s="5"/>
    </row>
    <row r="40" spans="1:25" ht="12.75" customHeight="1" x14ac:dyDescent="0.2">
      <c r="A40" s="82"/>
      <c r="B40" s="82"/>
      <c r="C40" s="5"/>
      <c r="D40" s="5"/>
      <c r="E40" s="5"/>
      <c r="F40" s="5"/>
      <c r="G40" s="5"/>
      <c r="H40" s="5"/>
      <c r="I40" s="82"/>
      <c r="J40" s="8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.5" customHeight="1" thickBot="1" x14ac:dyDescent="0.25">
      <c r="A41" s="82"/>
      <c r="B41" s="82"/>
      <c r="C41" s="5"/>
      <c r="D41" s="5"/>
      <c r="E41" s="5"/>
      <c r="F41" s="5"/>
      <c r="G41" s="5"/>
      <c r="H41" s="5"/>
      <c r="I41" s="82"/>
      <c r="J41" s="8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7.25" customHeight="1" thickTop="1" thickBot="1" x14ac:dyDescent="0.3">
      <c r="A42" s="28"/>
      <c r="B42" s="4"/>
      <c r="C42" s="408"/>
      <c r="D42" s="934" t="str">
        <f>'Front Page'!$A$13</f>
        <v>Mechanical  Calculations</v>
      </c>
      <c r="E42" s="842"/>
      <c r="F42" s="842"/>
      <c r="G42" s="842"/>
      <c r="H42" s="859"/>
      <c r="I42" s="28"/>
      <c r="J42" s="4"/>
      <c r="K42" s="408"/>
      <c r="L42" s="934" t="str">
        <f>'Front Page'!$A$13</f>
        <v>Mechanical  Calculations</v>
      </c>
      <c r="M42" s="842"/>
      <c r="N42" s="842"/>
      <c r="O42" s="842"/>
      <c r="P42" s="859"/>
      <c r="Q42" s="5"/>
      <c r="R42" s="5"/>
      <c r="S42" s="5"/>
      <c r="T42" s="5"/>
      <c r="U42" s="5"/>
      <c r="V42" s="5"/>
      <c r="W42" s="5"/>
      <c r="X42" s="5"/>
      <c r="Y42" s="5"/>
    </row>
    <row r="43" spans="1:25" ht="16.5" customHeight="1" thickBot="1" x14ac:dyDescent="0.3">
      <c r="A43" s="6"/>
      <c r="B43" s="5"/>
      <c r="C43" s="14"/>
      <c r="D43" s="984"/>
      <c r="E43" s="831"/>
      <c r="F43" s="831"/>
      <c r="G43" s="831"/>
      <c r="H43" s="854"/>
      <c r="I43" s="6"/>
      <c r="J43" s="5"/>
      <c r="K43" s="14"/>
      <c r="L43" s="984"/>
      <c r="M43" s="831"/>
      <c r="N43" s="831"/>
      <c r="O43" s="831"/>
      <c r="P43" s="854"/>
      <c r="Q43" s="5"/>
      <c r="R43" s="5"/>
      <c r="S43" s="5"/>
      <c r="T43" s="5"/>
      <c r="U43" s="5"/>
      <c r="V43" s="5"/>
      <c r="W43" s="5"/>
      <c r="X43" s="5"/>
      <c r="Y43" s="5"/>
    </row>
    <row r="44" spans="1:25" ht="16.5" customHeight="1" thickBot="1" x14ac:dyDescent="0.3">
      <c r="A44" s="8"/>
      <c r="B44" s="9"/>
      <c r="C44" s="409"/>
      <c r="D44" s="985" t="s">
        <v>1954</v>
      </c>
      <c r="E44" s="834"/>
      <c r="F44" s="834"/>
      <c r="G44" s="834"/>
      <c r="H44" s="986"/>
      <c r="I44" s="8"/>
      <c r="J44" s="9"/>
      <c r="K44" s="409"/>
      <c r="L44" s="985" t="s">
        <v>1954</v>
      </c>
      <c r="M44" s="834"/>
      <c r="N44" s="834"/>
      <c r="O44" s="834"/>
      <c r="P44" s="986"/>
      <c r="Q44" s="5"/>
      <c r="R44" s="5"/>
      <c r="S44" s="5"/>
      <c r="T44" s="5"/>
      <c r="U44" s="5"/>
      <c r="V44" s="5"/>
      <c r="W44" s="5"/>
      <c r="X44" s="5"/>
      <c r="Y44" s="5"/>
    </row>
    <row r="45" spans="1:25" ht="16.5" customHeight="1" thickTop="1" thickBot="1" x14ac:dyDescent="0.3">
      <c r="A45" s="873"/>
      <c r="B45" s="848"/>
      <c r="C45" s="865"/>
      <c r="D45" s="385" t="str">
        <f>'Front Page'!$D$4</f>
        <v>Doc Nº</v>
      </c>
      <c r="E45" s="980"/>
      <c r="F45" s="843"/>
      <c r="G45" s="980"/>
      <c r="H45" s="843"/>
      <c r="I45" s="873"/>
      <c r="J45" s="848"/>
      <c r="K45" s="865"/>
      <c r="L45" s="385" t="str">
        <f>'Front Page'!$D$4</f>
        <v>Doc Nº</v>
      </c>
      <c r="M45" s="980"/>
      <c r="N45" s="843"/>
      <c r="O45" s="980"/>
      <c r="P45" s="843"/>
      <c r="Q45" s="5"/>
      <c r="R45" s="5"/>
      <c r="S45" s="5"/>
      <c r="T45" s="5"/>
      <c r="U45" s="5"/>
      <c r="V45" s="5"/>
      <c r="W45" s="5"/>
      <c r="X45" s="5"/>
      <c r="Y45" s="5"/>
    </row>
    <row r="46" spans="1:25" ht="15.75" customHeight="1" thickBot="1" x14ac:dyDescent="0.3">
      <c r="A46" s="860"/>
      <c r="B46" s="851"/>
      <c r="C46" s="861"/>
      <c r="D46" s="386" t="str">
        <f>'Front Page'!$D$5</f>
        <v>Project</v>
      </c>
      <c r="E46" s="899"/>
      <c r="F46" s="835"/>
      <c r="G46" s="131" t="s">
        <v>5</v>
      </c>
      <c r="H46" s="132"/>
      <c r="I46" s="860"/>
      <c r="J46" s="851"/>
      <c r="K46" s="861"/>
      <c r="L46" s="386" t="str">
        <f>'Front Page'!$D$5</f>
        <v>Project</v>
      </c>
      <c r="M46" s="899"/>
      <c r="N46" s="835"/>
      <c r="O46" s="131" t="s">
        <v>5</v>
      </c>
      <c r="P46" s="427"/>
      <c r="Q46" s="5"/>
      <c r="R46" s="5"/>
      <c r="S46" s="5"/>
      <c r="T46" s="5"/>
      <c r="U46" s="5"/>
      <c r="V46" s="5"/>
      <c r="W46" s="5"/>
      <c r="X46" s="5"/>
      <c r="Y46" s="5"/>
    </row>
    <row r="47" spans="1:25" ht="13.5" customHeight="1" thickTop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2.75" customHeight="1" x14ac:dyDescent="0.2">
      <c r="A48" s="5" t="s">
        <v>2025</v>
      </c>
      <c r="B48" s="265">
        <f>B31*(1-0.4*B9)</f>
        <v>0.45862080000000005</v>
      </c>
      <c r="C48" s="982" t="s">
        <v>2026</v>
      </c>
      <c r="D48" s="809"/>
      <c r="E48" s="809"/>
      <c r="F48" s="809"/>
      <c r="G48" s="809"/>
      <c r="H48" s="809"/>
      <c r="I48" s="5" t="s">
        <v>2025</v>
      </c>
      <c r="J48" s="265">
        <f>J31*(1-0.4*J9)</f>
        <v>0.45862080000000005</v>
      </c>
      <c r="K48" s="982" t="s">
        <v>2026</v>
      </c>
      <c r="L48" s="809"/>
      <c r="M48" s="809"/>
      <c r="N48" s="809"/>
      <c r="O48" s="809"/>
      <c r="P48" s="809"/>
      <c r="Q48" s="5"/>
      <c r="R48" s="5"/>
      <c r="S48" s="5"/>
      <c r="T48" s="5"/>
      <c r="U48" s="5"/>
      <c r="V48" s="5"/>
      <c r="W48" s="5"/>
      <c r="X48" s="5"/>
      <c r="Y48" s="5"/>
    </row>
    <row r="49" spans="1:25" x14ac:dyDescent="0.2">
      <c r="A49" s="5"/>
      <c r="B49" s="265"/>
      <c r="C49" s="809"/>
      <c r="D49" s="809"/>
      <c r="E49" s="809"/>
      <c r="F49" s="809"/>
      <c r="G49" s="809"/>
      <c r="H49" s="809"/>
      <c r="I49" s="5"/>
      <c r="J49" s="265"/>
      <c r="K49" s="809"/>
      <c r="L49" s="809"/>
      <c r="M49" s="809"/>
      <c r="N49" s="809"/>
      <c r="O49" s="809"/>
      <c r="P49" s="809"/>
      <c r="Q49" s="5"/>
      <c r="R49" s="5"/>
      <c r="S49" s="5"/>
      <c r="T49" s="5"/>
      <c r="U49" s="5"/>
      <c r="V49" s="5"/>
      <c r="W49" s="5"/>
      <c r="X49" s="5"/>
      <c r="Y49" s="5"/>
    </row>
    <row r="50" spans="1:25" ht="27" customHeight="1" x14ac:dyDescent="0.2">
      <c r="A50" s="82" t="s">
        <v>2027</v>
      </c>
      <c r="B50" s="686">
        <f>B32/(PI()*B36)+B29+B39/(PI()*B36)</f>
        <v>17858.531759418234</v>
      </c>
      <c r="C50" s="982" t="s">
        <v>2028</v>
      </c>
      <c r="D50" s="809"/>
      <c r="E50" s="809"/>
      <c r="F50" s="809"/>
      <c r="G50" s="809"/>
      <c r="H50" s="809"/>
      <c r="I50" s="82" t="s">
        <v>2027</v>
      </c>
      <c r="J50" s="686">
        <f>B50</f>
        <v>17858.531759418234</v>
      </c>
      <c r="K50" s="982" t="s">
        <v>2028</v>
      </c>
      <c r="L50" s="809"/>
      <c r="M50" s="809"/>
      <c r="N50" s="809"/>
      <c r="O50" s="809"/>
      <c r="P50" s="809"/>
      <c r="Q50" s="5"/>
      <c r="R50" s="5"/>
      <c r="S50" s="5"/>
      <c r="T50" s="5"/>
      <c r="U50" s="5"/>
      <c r="V50" s="5"/>
      <c r="W50" s="5"/>
      <c r="X50" s="5"/>
      <c r="Y50" s="5"/>
    </row>
    <row r="51" spans="1:25" ht="40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5" t="s">
        <v>1070</v>
      </c>
      <c r="B52" s="216">
        <v>0.5</v>
      </c>
      <c r="C52" s="5" t="s">
        <v>2029</v>
      </c>
      <c r="D52" s="5"/>
      <c r="E52" s="5"/>
      <c r="F52" s="5"/>
      <c r="G52" s="5"/>
      <c r="H52" s="5"/>
      <c r="I52" s="5" t="s">
        <v>1070</v>
      </c>
      <c r="J52" s="216">
        <v>0.38</v>
      </c>
      <c r="K52" s="5" t="s">
        <v>2029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7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40.5" customHeight="1" x14ac:dyDescent="0.3">
      <c r="A54" s="1063" t="s">
        <v>2030</v>
      </c>
      <c r="B54" s="809"/>
      <c r="C54" s="809"/>
      <c r="D54" s="809"/>
      <c r="E54" s="809"/>
      <c r="F54" s="809"/>
      <c r="G54" s="809"/>
      <c r="H54" s="809"/>
      <c r="I54" s="1063" t="s">
        <v>2030</v>
      </c>
      <c r="J54" s="809"/>
      <c r="K54" s="809"/>
      <c r="L54" s="809"/>
      <c r="M54" s="809"/>
      <c r="N54" s="809"/>
      <c r="O54" s="809"/>
      <c r="P54" s="809"/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x14ac:dyDescent="0.2">
      <c r="A56" s="82" t="s">
        <v>2031</v>
      </c>
      <c r="B56" s="687">
        <f>B12*B15/B16</f>
        <v>1.9714285714285713</v>
      </c>
      <c r="C56" s="1054" t="s">
        <v>2033</v>
      </c>
      <c r="D56" s="809"/>
      <c r="E56" s="809"/>
      <c r="F56" s="809"/>
      <c r="G56" s="809"/>
      <c r="H56" s="809"/>
      <c r="I56" s="82" t="s">
        <v>2031</v>
      </c>
      <c r="J56" s="686">
        <f t="shared" ref="J56:J63" si="1">B56</f>
        <v>1.9714285714285713</v>
      </c>
      <c r="K56" s="1054" t="s">
        <v>2033</v>
      </c>
      <c r="L56" s="809"/>
      <c r="M56" s="809"/>
      <c r="N56" s="809"/>
      <c r="O56" s="809"/>
      <c r="P56" s="809"/>
      <c r="Q56" s="5"/>
      <c r="R56" s="5"/>
      <c r="S56" s="5"/>
      <c r="T56" s="5"/>
      <c r="U56" s="5"/>
      <c r="V56" s="5"/>
      <c r="W56" s="5"/>
      <c r="X56" s="5"/>
      <c r="Y56" s="5"/>
    </row>
    <row r="57" spans="1:25" ht="15.75" customHeight="1" x14ac:dyDescent="0.2">
      <c r="A57" s="82" t="s">
        <v>1349</v>
      </c>
      <c r="B57" s="687">
        <v>0.32200000000000001</v>
      </c>
      <c r="C57" s="1054" t="s">
        <v>2035</v>
      </c>
      <c r="D57" s="809"/>
      <c r="E57" s="809"/>
      <c r="F57" s="809"/>
      <c r="G57" s="809"/>
      <c r="H57" s="809"/>
      <c r="I57" s="82" t="s">
        <v>1349</v>
      </c>
      <c r="J57" s="686">
        <f t="shared" si="1"/>
        <v>0.32200000000000001</v>
      </c>
      <c r="K57" s="1054" t="s">
        <v>2035</v>
      </c>
      <c r="L57" s="809"/>
      <c r="M57" s="809"/>
      <c r="N57" s="809"/>
      <c r="O57" s="809"/>
      <c r="P57" s="809"/>
      <c r="Q57" s="5"/>
      <c r="R57" s="5"/>
      <c r="S57" s="5"/>
      <c r="T57" s="5"/>
      <c r="U57" s="5"/>
      <c r="V57" s="5"/>
      <c r="W57" s="5"/>
      <c r="X57" s="5"/>
      <c r="Y57" s="5"/>
    </row>
    <row r="58" spans="1:25" ht="12.75" customHeight="1" x14ac:dyDescent="0.2">
      <c r="A58" s="82" t="s">
        <v>2036</v>
      </c>
      <c r="B58" s="687">
        <f>B57</f>
        <v>0.32200000000000001</v>
      </c>
      <c r="C58" s="1054" t="s">
        <v>2037</v>
      </c>
      <c r="D58" s="809"/>
      <c r="E58" s="809"/>
      <c r="F58" s="809"/>
      <c r="G58" s="809"/>
      <c r="H58" s="809"/>
      <c r="I58" s="82" t="s">
        <v>2036</v>
      </c>
      <c r="J58" s="686">
        <f t="shared" si="1"/>
        <v>0.32200000000000001</v>
      </c>
      <c r="K58" s="1054" t="s">
        <v>2037</v>
      </c>
      <c r="L58" s="809"/>
      <c r="M58" s="809"/>
      <c r="N58" s="809"/>
      <c r="O58" s="809"/>
      <c r="P58" s="809"/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82"/>
      <c r="B59" s="686"/>
      <c r="C59" s="809"/>
      <c r="D59" s="809"/>
      <c r="E59" s="809"/>
      <c r="F59" s="809"/>
      <c r="G59" s="809"/>
      <c r="H59" s="809"/>
      <c r="I59" s="82"/>
      <c r="J59" s="686">
        <f t="shared" si="1"/>
        <v>0</v>
      </c>
      <c r="K59" s="809"/>
      <c r="L59" s="809"/>
      <c r="M59" s="809"/>
      <c r="N59" s="809"/>
      <c r="O59" s="809"/>
      <c r="P59" s="809"/>
      <c r="Q59" s="5"/>
      <c r="R59" s="5"/>
      <c r="S59" s="5"/>
      <c r="T59" s="5"/>
      <c r="U59" s="5"/>
      <c r="V59" s="5"/>
      <c r="W59" s="5"/>
      <c r="X59" s="5"/>
      <c r="Y59" s="5"/>
    </row>
    <row r="60" spans="1:25" ht="27.75" customHeight="1" x14ac:dyDescent="0.2">
      <c r="A60" s="82" t="s">
        <v>1068</v>
      </c>
      <c r="B60" s="687">
        <v>1</v>
      </c>
      <c r="C60" s="1054" t="s">
        <v>2038</v>
      </c>
      <c r="D60" s="809"/>
      <c r="E60" s="809"/>
      <c r="F60" s="809"/>
      <c r="G60" s="809"/>
      <c r="H60" s="809"/>
      <c r="I60" s="82" t="s">
        <v>1068</v>
      </c>
      <c r="J60" s="686">
        <f t="shared" si="1"/>
        <v>1</v>
      </c>
      <c r="K60" s="1054" t="s">
        <v>2038</v>
      </c>
      <c r="L60" s="809"/>
      <c r="M60" s="809"/>
      <c r="N60" s="809"/>
      <c r="O60" s="809"/>
      <c r="P60" s="809"/>
      <c r="Q60" s="5"/>
      <c r="R60" s="5"/>
      <c r="S60" s="5"/>
      <c r="T60" s="5"/>
      <c r="U60" s="5"/>
      <c r="V60" s="5"/>
      <c r="W60" s="5"/>
      <c r="X60" s="5"/>
      <c r="Y60" s="5"/>
    </row>
    <row r="61" spans="1:25" ht="25.5" customHeight="1" x14ac:dyDescent="0.2">
      <c r="A61" s="82" t="s">
        <v>1967</v>
      </c>
      <c r="B61" s="686">
        <f>B13</f>
        <v>2.5</v>
      </c>
      <c r="C61" s="1054" t="s">
        <v>2039</v>
      </c>
      <c r="D61" s="809"/>
      <c r="E61" s="809"/>
      <c r="F61" s="809"/>
      <c r="G61" s="809"/>
      <c r="H61" s="809"/>
      <c r="I61" s="82" t="s">
        <v>1967</v>
      </c>
      <c r="J61" s="686">
        <f t="shared" si="1"/>
        <v>2.5</v>
      </c>
      <c r="K61" s="1054" t="s">
        <v>2039</v>
      </c>
      <c r="L61" s="809"/>
      <c r="M61" s="809"/>
      <c r="N61" s="809"/>
      <c r="O61" s="809"/>
      <c r="P61" s="809"/>
      <c r="Q61" s="5"/>
      <c r="R61" s="5"/>
      <c r="S61" s="5"/>
      <c r="T61" s="5"/>
      <c r="U61" s="5"/>
      <c r="V61" s="5"/>
      <c r="W61" s="5"/>
      <c r="X61" s="5"/>
      <c r="Y61" s="5"/>
    </row>
    <row r="62" spans="1:25" ht="29.25" customHeight="1" x14ac:dyDescent="0.2">
      <c r="A62" s="82" t="s">
        <v>2040</v>
      </c>
      <c r="B62" s="686">
        <f>1.8*B63*B36^0.5</f>
        <v>5.8523847047571982</v>
      </c>
      <c r="C62" s="1054" t="s">
        <v>2041</v>
      </c>
      <c r="D62" s="809"/>
      <c r="E62" s="809"/>
      <c r="F62" s="809"/>
      <c r="G62" s="809"/>
      <c r="H62" s="809"/>
      <c r="I62" s="82" t="s">
        <v>2040</v>
      </c>
      <c r="J62" s="686">
        <f t="shared" si="1"/>
        <v>5.8523847047571982</v>
      </c>
      <c r="K62" s="1054" t="s">
        <v>2041</v>
      </c>
      <c r="L62" s="809"/>
      <c r="M62" s="809"/>
      <c r="N62" s="809"/>
      <c r="O62" s="809"/>
      <c r="P62" s="809"/>
      <c r="Q62" s="5"/>
      <c r="R62" s="5"/>
      <c r="S62" s="5"/>
      <c r="T62" s="5"/>
      <c r="U62" s="5"/>
      <c r="V62" s="5"/>
      <c r="W62" s="5"/>
      <c r="X62" s="5"/>
      <c r="Y62" s="5"/>
    </row>
    <row r="63" spans="1:25" ht="17.25" customHeight="1" x14ac:dyDescent="0.2">
      <c r="A63" s="82" t="s">
        <v>2042</v>
      </c>
      <c r="B63" s="686">
        <f>0.578/(TANH(3.68*B37/B36))^0.5</f>
        <v>0.71635245125511615</v>
      </c>
      <c r="C63" s="5"/>
      <c r="D63" s="5"/>
      <c r="E63" s="5"/>
      <c r="F63" s="5"/>
      <c r="G63" s="5"/>
      <c r="H63" s="5"/>
      <c r="I63" s="82" t="s">
        <v>2042</v>
      </c>
      <c r="J63" s="686">
        <f t="shared" si="1"/>
        <v>0.71635245125511615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0.25" customHeight="1" x14ac:dyDescent="0.3">
      <c r="A67" s="63" t="s">
        <v>2043</v>
      </c>
      <c r="B67" s="5"/>
      <c r="C67" s="5"/>
      <c r="D67" s="5"/>
      <c r="E67" s="5"/>
      <c r="F67" s="5"/>
      <c r="G67" s="5"/>
      <c r="H67" s="5"/>
      <c r="I67" s="63" t="s">
        <v>2043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2.75" customHeight="1" x14ac:dyDescent="0.2">
      <c r="A69" s="5" t="s">
        <v>2044</v>
      </c>
      <c r="B69" s="265">
        <f>B35*(1-0.218*B36/B37)</f>
        <v>-371590.33827967657</v>
      </c>
      <c r="C69" s="1054" t="s">
        <v>2045</v>
      </c>
      <c r="D69" s="809"/>
      <c r="E69" s="809"/>
      <c r="F69" s="809"/>
      <c r="G69" s="809"/>
      <c r="H69" s="809"/>
      <c r="I69" s="5" t="s">
        <v>2044</v>
      </c>
      <c r="J69" s="265">
        <f>B69*0.225</f>
        <v>-83607.826112927229</v>
      </c>
      <c r="K69" s="901" t="s">
        <v>2046</v>
      </c>
      <c r="L69" s="809"/>
      <c r="M69" s="809"/>
      <c r="N69" s="809"/>
      <c r="O69" s="809"/>
      <c r="P69" s="809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2">
      <c r="A70" s="5"/>
      <c r="B70" s="265"/>
      <c r="C70" s="809"/>
      <c r="D70" s="809"/>
      <c r="E70" s="809"/>
      <c r="F70" s="809"/>
      <c r="G70" s="809"/>
      <c r="H70" s="809"/>
      <c r="I70" s="5"/>
      <c r="J70" s="265"/>
      <c r="K70" s="809"/>
      <c r="L70" s="809"/>
      <c r="M70" s="809"/>
      <c r="N70" s="809"/>
      <c r="O70" s="809"/>
      <c r="P70" s="809"/>
      <c r="Q70" s="5"/>
      <c r="R70" s="5"/>
      <c r="S70" s="5"/>
      <c r="T70" s="5"/>
      <c r="U70" s="5"/>
      <c r="V70" s="5"/>
      <c r="W70" s="5"/>
      <c r="X70" s="5"/>
      <c r="Y70" s="5"/>
    </row>
    <row r="71" spans="1:25" ht="27" customHeight="1" x14ac:dyDescent="0.2">
      <c r="A71" s="5" t="s">
        <v>1314</v>
      </c>
      <c r="B71" s="265">
        <f>(0.23*B36/B37*TANH(3.67*B37/B36))*B35</f>
        <v>8125414.1334028943</v>
      </c>
      <c r="C71" s="1054" t="s">
        <v>2047</v>
      </c>
      <c r="D71" s="809"/>
      <c r="E71" s="809"/>
      <c r="F71" s="809"/>
      <c r="G71" s="809"/>
      <c r="H71" s="809"/>
      <c r="I71" s="5" t="s">
        <v>1314</v>
      </c>
      <c r="J71" s="265">
        <f>B71*0.225</f>
        <v>1828218.1800156513</v>
      </c>
      <c r="K71" s="901" t="s">
        <v>2048</v>
      </c>
      <c r="L71" s="809"/>
      <c r="M71" s="809"/>
      <c r="N71" s="809"/>
      <c r="O71" s="809"/>
      <c r="P71" s="809"/>
      <c r="Q71" s="5"/>
      <c r="R71" s="5"/>
      <c r="S71" s="5"/>
      <c r="T71" s="5"/>
      <c r="U71" s="5"/>
      <c r="V71" s="5"/>
      <c r="W71" s="5"/>
      <c r="X71" s="5"/>
      <c r="Y71" s="5"/>
    </row>
    <row r="72" spans="1:25" ht="27" customHeight="1" x14ac:dyDescent="0.2">
      <c r="A72" s="5"/>
      <c r="B72" s="265"/>
      <c r="C72" s="388"/>
      <c r="D72" s="388"/>
      <c r="E72" s="388"/>
      <c r="F72" s="388"/>
      <c r="G72" s="388"/>
      <c r="H72" s="388"/>
      <c r="I72" s="5"/>
      <c r="J72" s="265"/>
      <c r="K72" s="388"/>
      <c r="L72" s="388"/>
      <c r="M72" s="388"/>
      <c r="N72" s="388"/>
      <c r="O72" s="388"/>
      <c r="P72" s="388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2">
      <c r="A73" s="5" t="s">
        <v>735</v>
      </c>
      <c r="B73" s="265">
        <f>(B74^2+B75^2)^0.5</f>
        <v>3405901.8036791747</v>
      </c>
      <c r="C73" s="1054" t="s">
        <v>2049</v>
      </c>
      <c r="D73" s="809"/>
      <c r="E73" s="809"/>
      <c r="F73" s="809"/>
      <c r="G73" s="809"/>
      <c r="H73" s="809"/>
      <c r="I73" s="5" t="s">
        <v>735</v>
      </c>
      <c r="J73" s="265">
        <f>B73*0.225</f>
        <v>766327.90582781436</v>
      </c>
      <c r="K73" s="901" t="s">
        <v>2050</v>
      </c>
      <c r="L73" s="809"/>
      <c r="M73" s="809"/>
      <c r="N73" s="809"/>
      <c r="O73" s="809"/>
      <c r="P73" s="809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">
      <c r="A74" s="5" t="s">
        <v>2051</v>
      </c>
      <c r="B74" s="265">
        <f>B56*(B32+B33+B34+B69+B38/2+B39/2)</f>
        <v>2180528.6646010205</v>
      </c>
      <c r="C74" s="1054" t="s">
        <v>2052</v>
      </c>
      <c r="D74" s="809"/>
      <c r="E74" s="809"/>
      <c r="F74" s="809"/>
      <c r="G74" s="809"/>
      <c r="H74" s="809"/>
      <c r="I74" s="5" t="s">
        <v>2051</v>
      </c>
      <c r="J74" s="265">
        <f>B74*0.225</f>
        <v>490618.94953522965</v>
      </c>
      <c r="K74" s="901" t="s">
        <v>2053</v>
      </c>
      <c r="L74" s="809"/>
      <c r="M74" s="809"/>
      <c r="N74" s="809"/>
      <c r="O74" s="809"/>
      <c r="P74" s="809"/>
      <c r="Q74" s="5"/>
      <c r="R74" s="5"/>
      <c r="S74" s="5"/>
      <c r="T74" s="5"/>
      <c r="U74" s="5"/>
      <c r="V74" s="5"/>
      <c r="W74" s="5"/>
      <c r="X74" s="5"/>
      <c r="Y74" s="5"/>
    </row>
    <row r="75" spans="1:25" ht="25.5" customHeight="1" x14ac:dyDescent="0.2">
      <c r="A75" s="5" t="s">
        <v>2054</v>
      </c>
      <c r="B75" s="265">
        <f>B57*B71</f>
        <v>2616383.3509557322</v>
      </c>
      <c r="C75" s="1054" t="s">
        <v>2055</v>
      </c>
      <c r="D75" s="809"/>
      <c r="E75" s="809"/>
      <c r="F75" s="809"/>
      <c r="G75" s="809"/>
      <c r="H75" s="809"/>
      <c r="I75" s="5" t="s">
        <v>2054</v>
      </c>
      <c r="J75" s="265">
        <f>B75*0.225</f>
        <v>588686.25396503974</v>
      </c>
      <c r="K75" s="901" t="s">
        <v>2056</v>
      </c>
      <c r="L75" s="809"/>
      <c r="M75" s="809"/>
      <c r="N75" s="809"/>
      <c r="O75" s="809"/>
      <c r="P75" s="809"/>
      <c r="Q75" s="5"/>
      <c r="R75" s="5"/>
      <c r="S75" s="5"/>
      <c r="T75" s="5"/>
      <c r="U75" s="5"/>
      <c r="V75" s="5"/>
      <c r="W75" s="5"/>
      <c r="X75" s="5"/>
      <c r="Y75" s="5"/>
    </row>
    <row r="76" spans="1:25" ht="24.75" customHeight="1" x14ac:dyDescent="0.2">
      <c r="A76" s="5"/>
      <c r="B76" s="265"/>
      <c r="C76" s="388"/>
      <c r="D76" s="388"/>
      <c r="E76" s="388"/>
      <c r="F76" s="388"/>
      <c r="G76" s="388"/>
      <c r="H76" s="388"/>
      <c r="I76" s="5"/>
      <c r="J76" s="265"/>
      <c r="K76" s="388"/>
      <c r="L76" s="388"/>
      <c r="M76" s="388"/>
      <c r="N76" s="388"/>
      <c r="O76" s="388"/>
      <c r="P76" s="388"/>
      <c r="Q76" s="5"/>
      <c r="R76" s="5"/>
      <c r="S76" s="5"/>
      <c r="T76" s="5"/>
      <c r="U76" s="5"/>
      <c r="V76" s="5"/>
      <c r="W76" s="5"/>
      <c r="X76" s="5"/>
      <c r="Y76" s="5"/>
    </row>
    <row r="77" spans="1:25" ht="12.75" customHeight="1" x14ac:dyDescent="0.2">
      <c r="A77" s="5" t="s">
        <v>2057</v>
      </c>
      <c r="B77" s="265">
        <f>2*B73/(B36*PI())</f>
        <v>105255.55490119275</v>
      </c>
      <c r="C77" s="982" t="s">
        <v>2058</v>
      </c>
      <c r="D77" s="809"/>
      <c r="E77" s="809"/>
      <c r="F77" s="809"/>
      <c r="G77" s="809"/>
      <c r="H77" s="809"/>
      <c r="I77" s="5" t="s">
        <v>2057</v>
      </c>
      <c r="J77" s="686">
        <f>B77</f>
        <v>105255.55490119275</v>
      </c>
      <c r="K77" s="982" t="s">
        <v>2058</v>
      </c>
      <c r="L77" s="809"/>
      <c r="M77" s="809"/>
      <c r="N77" s="809"/>
      <c r="O77" s="809"/>
      <c r="P77" s="809"/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2">
      <c r="A78" s="5"/>
      <c r="B78" s="265"/>
      <c r="C78" s="809"/>
      <c r="D78" s="809"/>
      <c r="E78" s="809"/>
      <c r="F78" s="809"/>
      <c r="G78" s="809"/>
      <c r="H78" s="809"/>
      <c r="I78" s="5"/>
      <c r="J78" s="265"/>
      <c r="K78" s="809"/>
      <c r="L78" s="809"/>
      <c r="M78" s="809"/>
      <c r="N78" s="809"/>
      <c r="O78" s="809"/>
      <c r="P78" s="809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">
      <c r="A79" s="5" t="s">
        <v>2059</v>
      </c>
      <c r="B79" s="265">
        <f>B52*(B32+B33+B35+B34)*(1-0.4*B9)</f>
        <v>3508710.9594296906</v>
      </c>
      <c r="C79" s="1054" t="s">
        <v>2060</v>
      </c>
      <c r="D79" s="809"/>
      <c r="E79" s="809"/>
      <c r="F79" s="809"/>
      <c r="G79" s="809"/>
      <c r="H79" s="809"/>
      <c r="I79" s="5" t="s">
        <v>2059</v>
      </c>
      <c r="J79" s="265">
        <f>B79*0.225</f>
        <v>789459.96587168041</v>
      </c>
      <c r="K79" s="901" t="s">
        <v>2061</v>
      </c>
      <c r="L79" s="809"/>
      <c r="M79" s="809"/>
      <c r="N79" s="809"/>
      <c r="O79" s="809"/>
      <c r="P79" s="809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">
      <c r="A80" s="5"/>
      <c r="B80" s="265"/>
      <c r="C80" s="5"/>
      <c r="D80" s="5"/>
      <c r="E80" s="5"/>
      <c r="F80" s="5"/>
      <c r="G80" s="5"/>
      <c r="H80" s="5"/>
      <c r="I80" s="5"/>
      <c r="J80" s="26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x14ac:dyDescent="0.2">
      <c r="A81" s="117" t="s">
        <v>2062</v>
      </c>
      <c r="B81" s="689">
        <f>B79/B73</f>
        <v>1.0301855900952452</v>
      </c>
      <c r="C81" s="690" t="str">
        <f>IF(B81&gt;1,"OK","ERROR")</f>
        <v>OK</v>
      </c>
      <c r="D81" s="5"/>
      <c r="E81" s="5"/>
      <c r="F81" s="5"/>
      <c r="G81" s="5"/>
      <c r="H81" s="5"/>
      <c r="I81" s="117" t="s">
        <v>2062</v>
      </c>
      <c r="J81" s="689">
        <f>J79/J73</f>
        <v>1.0301855900952452</v>
      </c>
      <c r="K81" s="690" t="str">
        <f>IF(J81&gt;1,"OK","ERROR")</f>
        <v>OK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">
      <c r="A82" s="5"/>
      <c r="B82" s="265"/>
      <c r="C82" s="5"/>
      <c r="D82" s="5"/>
      <c r="E82" s="5"/>
      <c r="F82" s="5"/>
      <c r="G82" s="5"/>
      <c r="H82" s="5"/>
      <c r="I82" s="5"/>
      <c r="J82" s="26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x14ac:dyDescent="0.2">
      <c r="A83" s="5" t="s">
        <v>2063</v>
      </c>
      <c r="B83" s="265">
        <f>B77/(B30*1000)</f>
        <v>13.156944362649094</v>
      </c>
      <c r="C83" s="5" t="s">
        <v>2064</v>
      </c>
      <c r="D83" s="5"/>
      <c r="E83" s="5"/>
      <c r="F83" s="5"/>
      <c r="G83" s="5"/>
      <c r="H83" s="5"/>
      <c r="I83" s="5" t="s">
        <v>2063</v>
      </c>
      <c r="J83" s="265">
        <f>B83*145.04</f>
        <v>1908.2832103586245</v>
      </c>
      <c r="K83" s="64" t="s">
        <v>2065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.5" customHeight="1" thickBo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7.25" customHeight="1" thickTop="1" thickBot="1" x14ac:dyDescent="0.3">
      <c r="A86" s="28"/>
      <c r="B86" s="4"/>
      <c r="C86" s="408"/>
      <c r="D86" s="934" t="str">
        <f>'Front Page'!$A$13</f>
        <v>Mechanical  Calculations</v>
      </c>
      <c r="E86" s="842"/>
      <c r="F86" s="842"/>
      <c r="G86" s="842"/>
      <c r="H86" s="859"/>
      <c r="I86" s="28"/>
      <c r="J86" s="4"/>
      <c r="K86" s="408"/>
      <c r="L86" s="934" t="str">
        <f>'Front Page'!$A$13</f>
        <v>Mechanical  Calculations</v>
      </c>
      <c r="M86" s="842"/>
      <c r="N86" s="842"/>
      <c r="O86" s="842"/>
      <c r="P86" s="859"/>
      <c r="Q86" s="5"/>
      <c r="R86" s="5"/>
      <c r="S86" s="5"/>
      <c r="T86" s="5"/>
      <c r="U86" s="5"/>
      <c r="V86" s="5"/>
      <c r="W86" s="5"/>
      <c r="X86" s="5"/>
      <c r="Y86" s="5"/>
    </row>
    <row r="87" spans="1:25" ht="16.5" customHeight="1" thickBot="1" x14ac:dyDescent="0.3">
      <c r="A87" s="6"/>
      <c r="B87" s="5"/>
      <c r="C87" s="14"/>
      <c r="D87" s="984"/>
      <c r="E87" s="831"/>
      <c r="F87" s="831"/>
      <c r="G87" s="831"/>
      <c r="H87" s="854"/>
      <c r="I87" s="6"/>
      <c r="J87" s="5"/>
      <c r="K87" s="14"/>
      <c r="L87" s="984"/>
      <c r="M87" s="831"/>
      <c r="N87" s="831"/>
      <c r="O87" s="831"/>
      <c r="P87" s="854"/>
      <c r="Q87" s="5"/>
      <c r="R87" s="5"/>
      <c r="S87" s="5"/>
      <c r="T87" s="5"/>
      <c r="U87" s="5"/>
      <c r="V87" s="5"/>
      <c r="W87" s="5"/>
      <c r="X87" s="5"/>
      <c r="Y87" s="5"/>
    </row>
    <row r="88" spans="1:25" ht="16.5" customHeight="1" thickBot="1" x14ac:dyDescent="0.3">
      <c r="A88" s="8"/>
      <c r="B88" s="9"/>
      <c r="C88" s="409"/>
      <c r="D88" s="985" t="s">
        <v>1954</v>
      </c>
      <c r="E88" s="834"/>
      <c r="F88" s="834"/>
      <c r="G88" s="834"/>
      <c r="H88" s="986"/>
      <c r="I88" s="8"/>
      <c r="J88" s="9"/>
      <c r="K88" s="409"/>
      <c r="L88" s="985" t="s">
        <v>1954</v>
      </c>
      <c r="M88" s="834"/>
      <c r="N88" s="834"/>
      <c r="O88" s="834"/>
      <c r="P88" s="986"/>
      <c r="Q88" s="5"/>
      <c r="R88" s="5"/>
      <c r="S88" s="5"/>
      <c r="T88" s="5"/>
      <c r="U88" s="5"/>
      <c r="V88" s="5"/>
      <c r="W88" s="5"/>
      <c r="X88" s="5"/>
      <c r="Y88" s="5"/>
    </row>
    <row r="89" spans="1:25" ht="16.5" customHeight="1" thickTop="1" thickBot="1" x14ac:dyDescent="0.3">
      <c r="A89" s="873"/>
      <c r="B89" s="848"/>
      <c r="C89" s="865"/>
      <c r="D89" s="385" t="str">
        <f>'Front Page'!$D$4</f>
        <v>Doc Nº</v>
      </c>
      <c r="E89" s="980"/>
      <c r="F89" s="843"/>
      <c r="G89" s="980"/>
      <c r="H89" s="843"/>
      <c r="I89" s="873"/>
      <c r="J89" s="848"/>
      <c r="K89" s="865"/>
      <c r="L89" s="385" t="str">
        <f>'Front Page'!$D$4</f>
        <v>Doc Nº</v>
      </c>
      <c r="M89" s="980"/>
      <c r="N89" s="843"/>
      <c r="O89" s="980"/>
      <c r="P89" s="843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 thickBot="1" x14ac:dyDescent="0.3">
      <c r="A90" s="860"/>
      <c r="B90" s="851"/>
      <c r="C90" s="861"/>
      <c r="D90" s="386" t="str">
        <f>'Front Page'!$D$5</f>
        <v>Project</v>
      </c>
      <c r="E90" s="899"/>
      <c r="F90" s="835"/>
      <c r="G90" s="131" t="s">
        <v>5</v>
      </c>
      <c r="H90" s="132"/>
      <c r="I90" s="860"/>
      <c r="J90" s="851"/>
      <c r="K90" s="861"/>
      <c r="L90" s="386" t="str">
        <f>'Front Page'!$D$5</f>
        <v>Project</v>
      </c>
      <c r="M90" s="899"/>
      <c r="N90" s="835"/>
      <c r="O90" s="131" t="s">
        <v>5</v>
      </c>
      <c r="P90" s="427"/>
      <c r="Q90" s="5"/>
      <c r="R90" s="5"/>
      <c r="S90" s="5"/>
      <c r="T90" s="5"/>
      <c r="U90" s="5"/>
      <c r="V90" s="5"/>
      <c r="W90" s="5"/>
      <c r="X90" s="5"/>
      <c r="Y90" s="5"/>
    </row>
    <row r="91" spans="1:25" ht="13.5" customHeight="1" thickTop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0.25" customHeight="1" x14ac:dyDescent="0.3">
      <c r="A94" s="63" t="s">
        <v>2066</v>
      </c>
      <c r="B94" s="5"/>
      <c r="C94" s="5"/>
      <c r="D94" s="5"/>
      <c r="E94" s="5"/>
      <c r="F94" s="5"/>
      <c r="G94" s="5"/>
      <c r="H94" s="5"/>
      <c r="I94" s="63" t="s">
        <v>2066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 t="s">
        <v>2067</v>
      </c>
      <c r="S95" s="5"/>
      <c r="T95" s="5"/>
      <c r="U95" s="5"/>
      <c r="V95" s="5"/>
      <c r="W95" s="5"/>
      <c r="X95" s="5"/>
      <c r="Y95" s="5"/>
    </row>
    <row r="96" spans="1:25" ht="45.75" customHeight="1" x14ac:dyDescent="0.2">
      <c r="A96" s="82" t="s">
        <v>2068</v>
      </c>
      <c r="B96" s="691">
        <f>(0.5-0.094*B36/B37)*B37</f>
        <v>0.23859999999999962</v>
      </c>
      <c r="C96" s="1064" t="s">
        <v>2069</v>
      </c>
      <c r="D96" s="809"/>
      <c r="E96" s="809"/>
      <c r="F96" s="809"/>
      <c r="G96" s="809"/>
      <c r="H96" s="809"/>
      <c r="I96" s="82" t="s">
        <v>2068</v>
      </c>
      <c r="J96" s="683">
        <f>B96*1000/25.4</f>
        <v>9.3937007874015599</v>
      </c>
      <c r="K96" s="1068" t="s">
        <v>2070</v>
      </c>
      <c r="L96" s="809"/>
      <c r="M96" s="809"/>
      <c r="N96" s="809"/>
      <c r="O96" s="809"/>
      <c r="P96" s="809"/>
      <c r="Q96" s="5"/>
      <c r="R96" s="5"/>
      <c r="S96" s="5"/>
      <c r="T96" s="5"/>
      <c r="U96" s="5"/>
      <c r="V96" s="5"/>
      <c r="W96" s="5"/>
      <c r="X96" s="5"/>
      <c r="Y96" s="5"/>
    </row>
    <row r="97" spans="1:25" ht="43.5" customHeight="1" x14ac:dyDescent="0.2">
      <c r="A97" s="82" t="s">
        <v>2071</v>
      </c>
      <c r="B97" s="691">
        <f>(0.5+0.06*B36/B37)*B37</f>
        <v>3.4109999999999996</v>
      </c>
      <c r="C97" s="1064" t="s">
        <v>2072</v>
      </c>
      <c r="D97" s="809"/>
      <c r="E97" s="809"/>
      <c r="F97" s="809"/>
      <c r="G97" s="809"/>
      <c r="H97" s="809"/>
      <c r="I97" s="82" t="s">
        <v>2071</v>
      </c>
      <c r="J97" s="683">
        <f>B97*1000/25.4</f>
        <v>134.29133858267716</v>
      </c>
      <c r="K97" s="1068" t="s">
        <v>2073</v>
      </c>
      <c r="L97" s="809"/>
      <c r="M97" s="809"/>
      <c r="N97" s="809"/>
      <c r="O97" s="809"/>
      <c r="P97" s="809"/>
      <c r="Q97" s="5"/>
      <c r="R97" s="5"/>
      <c r="S97" s="5"/>
      <c r="T97" s="5"/>
      <c r="U97" s="5"/>
      <c r="V97" s="5"/>
      <c r="W97" s="5"/>
      <c r="X97" s="5"/>
      <c r="Y97" s="5"/>
    </row>
    <row r="98" spans="1:25" ht="53.25" customHeight="1" x14ac:dyDescent="0.2">
      <c r="A98" s="82" t="s">
        <v>2074</v>
      </c>
      <c r="B98" s="691">
        <f>(1-(COSH(3.67*B37/B36)-1)/(3.67*B37/B36*SINH(3.67*B37/B36)))*B37</f>
        <v>2.2776932179640847</v>
      </c>
      <c r="C98" s="1065" t="s">
        <v>2075</v>
      </c>
      <c r="D98" s="809"/>
      <c r="E98" s="809"/>
      <c r="F98" s="809"/>
      <c r="G98" s="809"/>
      <c r="H98" s="809"/>
      <c r="I98" s="82" t="s">
        <v>2074</v>
      </c>
      <c r="J98" s="683">
        <f>B98*1000/25.4</f>
        <v>89.672961337168701</v>
      </c>
      <c r="K98" s="900" t="s">
        <v>2076</v>
      </c>
      <c r="L98" s="809"/>
      <c r="M98" s="809"/>
      <c r="N98" s="809"/>
      <c r="O98" s="809"/>
      <c r="P98" s="809"/>
      <c r="Q98" s="5"/>
      <c r="R98" s="5"/>
      <c r="S98" s="5">
        <f>B36/B37</f>
        <v>4.7356321839080469</v>
      </c>
      <c r="T98" s="5" t="str">
        <f>IF(S98&gt;1.33, "Error", "OK")</f>
        <v>Error</v>
      </c>
      <c r="U98" s="5"/>
      <c r="V98" s="5"/>
      <c r="W98" s="5"/>
      <c r="X98" s="5"/>
      <c r="Y98" s="5"/>
    </row>
    <row r="99" spans="1:25" ht="43.5" customHeight="1" x14ac:dyDescent="0.2">
      <c r="A99" s="82" t="s">
        <v>2077</v>
      </c>
      <c r="B99" s="691">
        <f>B37*(1-(COSH(3.67*B37/B36)-1.937)/(3.67*B37/B36*SINH(3.67*B37/B36)))</f>
        <v>8.4297340870978061</v>
      </c>
      <c r="C99" s="1064" t="s">
        <v>2078</v>
      </c>
      <c r="D99" s="809"/>
      <c r="E99" s="809"/>
      <c r="F99" s="809"/>
      <c r="G99" s="809"/>
      <c r="H99" s="809"/>
      <c r="I99" s="82" t="s">
        <v>2077</v>
      </c>
      <c r="J99" s="683">
        <f>B99*1000/25.4</f>
        <v>331.8792947676302</v>
      </c>
      <c r="K99" s="1068" t="s">
        <v>2079</v>
      </c>
      <c r="L99" s="809"/>
      <c r="M99" s="809"/>
      <c r="N99" s="809"/>
      <c r="O99" s="809"/>
      <c r="P99" s="809"/>
      <c r="Q99" s="5"/>
      <c r="R99" s="5"/>
      <c r="S99" s="5"/>
      <c r="T99" s="5"/>
      <c r="U99" s="5"/>
      <c r="V99" s="5"/>
      <c r="W99" s="5"/>
      <c r="X99" s="5"/>
      <c r="Y99" s="5"/>
    </row>
    <row r="100" spans="1:25" ht="41.25" customHeight="1" x14ac:dyDescent="0.2">
      <c r="A100" s="5"/>
      <c r="B100" s="5"/>
      <c r="C100" s="212"/>
      <c r="D100" s="212"/>
      <c r="E100" s="212"/>
      <c r="F100" s="212"/>
      <c r="G100" s="212"/>
      <c r="H100" s="212"/>
      <c r="I100" s="5"/>
      <c r="J100" s="5"/>
      <c r="K100" s="900" t="s">
        <v>2080</v>
      </c>
      <c r="L100" s="809"/>
      <c r="M100" s="809"/>
      <c r="N100" s="809"/>
      <c r="O100" s="809"/>
      <c r="P100" s="809"/>
      <c r="Q100" s="5"/>
      <c r="R100" s="5"/>
      <c r="S100" s="5"/>
      <c r="T100" s="5"/>
      <c r="U100" s="5"/>
      <c r="V100" s="5"/>
      <c r="W100" s="5"/>
      <c r="X100" s="5"/>
      <c r="Y100" s="5"/>
    </row>
    <row r="101" spans="1:25" x14ac:dyDescent="0.2">
      <c r="A101" s="5" t="s">
        <v>1689</v>
      </c>
      <c r="B101" s="692">
        <f>SQRT((B56*(B69*B96+B32*B24+B33*B25+B38*B37/2+B39*B25))^2+(B57*(B71*B98))^2)</f>
        <v>17023909.60799529</v>
      </c>
      <c r="C101" s="1054" t="s">
        <v>2081</v>
      </c>
      <c r="D101" s="809"/>
      <c r="E101" s="809"/>
      <c r="F101" s="809"/>
      <c r="G101" s="809"/>
      <c r="H101" s="809"/>
      <c r="I101" s="5" t="s">
        <v>1689</v>
      </c>
      <c r="J101" s="686">
        <f>B101*0.06858</f>
        <v>1167499.7209163171</v>
      </c>
      <c r="K101" s="901" t="s">
        <v>2082</v>
      </c>
      <c r="L101" s="809"/>
      <c r="M101" s="809"/>
      <c r="N101" s="809"/>
      <c r="O101" s="809"/>
      <c r="P101" s="809"/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">
      <c r="A102" s="5" t="s">
        <v>2083</v>
      </c>
      <c r="B102" s="692">
        <f>SQRT((B56*(B69*B97+B32*B24+B33*B25+B38*B37/4+B39*B25))^2+(B57*(B71*B99))^2)</f>
        <v>25093517.615898095</v>
      </c>
      <c r="C102" s="1054" t="s">
        <v>2084</v>
      </c>
      <c r="D102" s="809"/>
      <c r="E102" s="809"/>
      <c r="F102" s="809"/>
      <c r="G102" s="809"/>
      <c r="H102" s="809"/>
      <c r="I102" s="5" t="s">
        <v>2083</v>
      </c>
      <c r="J102" s="686">
        <f>B102*0.06858</f>
        <v>1720913.4380982914</v>
      </c>
      <c r="K102" s="901" t="s">
        <v>2085</v>
      </c>
      <c r="L102" s="809"/>
      <c r="M102" s="809"/>
      <c r="N102" s="809"/>
      <c r="O102" s="809"/>
      <c r="P102" s="809"/>
      <c r="Q102" s="5"/>
      <c r="R102" s="5"/>
      <c r="S102" s="5"/>
      <c r="T102" s="5"/>
      <c r="U102" s="5"/>
      <c r="V102" s="5"/>
      <c r="W102" s="5"/>
      <c r="X102" s="5"/>
      <c r="Y102" s="5"/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 t="s">
        <v>1712</v>
      </c>
      <c r="S103" s="5"/>
      <c r="T103" s="5"/>
      <c r="U103" s="5" t="s">
        <v>2086</v>
      </c>
      <c r="V103" s="5">
        <f>S106/U106</f>
        <v>1.7448132610776408</v>
      </c>
      <c r="W103" s="5"/>
      <c r="X103" s="5"/>
      <c r="Y103" s="5"/>
    </row>
    <row r="104" spans="1:25" ht="20.25" customHeight="1" x14ac:dyDescent="0.3">
      <c r="A104" s="63" t="s">
        <v>2087</v>
      </c>
      <c r="B104" s="5"/>
      <c r="C104" s="5"/>
      <c r="D104" s="5"/>
      <c r="E104" s="5"/>
      <c r="F104" s="5"/>
      <c r="G104" s="5"/>
      <c r="H104" s="5"/>
      <c r="I104" s="63" t="s">
        <v>2087</v>
      </c>
      <c r="J104" s="5"/>
      <c r="K104" s="5"/>
      <c r="L104" s="5"/>
      <c r="M104" s="5"/>
      <c r="N104" s="5"/>
      <c r="O104" s="5"/>
      <c r="P104" s="5"/>
      <c r="Q104" s="5"/>
      <c r="R104" s="5" t="s">
        <v>2088</v>
      </c>
      <c r="S104" s="5"/>
      <c r="T104" s="5"/>
      <c r="U104" s="5"/>
      <c r="V104" s="5"/>
      <c r="W104" s="5"/>
      <c r="X104" s="5"/>
      <c r="Y104" s="5"/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 t="s">
        <v>2089</v>
      </c>
      <c r="S105" s="5"/>
      <c r="T105" s="5"/>
      <c r="U105" s="5" t="s">
        <v>2090</v>
      </c>
      <c r="V105" s="5" t="s">
        <v>2091</v>
      </c>
      <c r="W105" s="5"/>
      <c r="X105" s="5"/>
      <c r="Y105" s="5"/>
    </row>
    <row r="106" spans="1:25" ht="42" customHeight="1" x14ac:dyDescent="0.2">
      <c r="A106" s="82" t="s">
        <v>2089</v>
      </c>
      <c r="B106" s="686">
        <f>(B50*(1+0.4*B9)+1.273*B101/B36^2)/(1000*B30)</f>
        <v>9.581135047833218</v>
      </c>
      <c r="C106" s="1054" t="s">
        <v>2092</v>
      </c>
      <c r="D106" s="809"/>
      <c r="E106" s="809"/>
      <c r="F106" s="809"/>
      <c r="G106" s="809"/>
      <c r="H106" s="809"/>
      <c r="I106" s="82" t="s">
        <v>2089</v>
      </c>
      <c r="J106" s="686">
        <f>B106*145.04</f>
        <v>1389.64782733773</v>
      </c>
      <c r="K106" s="901" t="s">
        <v>2093</v>
      </c>
      <c r="L106" s="809"/>
      <c r="M106" s="809"/>
      <c r="N106" s="809"/>
      <c r="O106" s="809"/>
      <c r="P106" s="809"/>
      <c r="Q106" s="5"/>
      <c r="R106" s="5" t="s">
        <v>2094</v>
      </c>
      <c r="S106" s="117">
        <v>5.6991851878187081</v>
      </c>
      <c r="T106" s="5"/>
      <c r="U106" s="265">
        <f>'Inner Vessel Shell Thickness'!E58</f>
        <v>3.2663582487324443</v>
      </c>
      <c r="V106" s="5"/>
      <c r="W106" s="5"/>
      <c r="X106" s="5"/>
      <c r="Y106" s="5"/>
    </row>
    <row r="107" spans="1:25" ht="25.5" customHeight="1" x14ac:dyDescent="0.2">
      <c r="A107" s="82" t="s">
        <v>2094</v>
      </c>
      <c r="B107" s="686">
        <f>IF(B108&lt;44,83*B30/(2.5*B36)+7.5*(B37*B31)^0.5,83*B30/(B36))</f>
        <v>26.954053786683787</v>
      </c>
      <c r="C107" s="1003" t="s">
        <v>2095</v>
      </c>
      <c r="D107" s="809"/>
      <c r="E107" s="809"/>
      <c r="F107" s="809"/>
      <c r="G107" s="809"/>
      <c r="H107" s="809"/>
      <c r="I107" s="82" t="s">
        <v>2094</v>
      </c>
      <c r="J107" s="686">
        <f>B107*145.04</f>
        <v>3909.4159612206163</v>
      </c>
      <c r="K107" s="900" t="s">
        <v>2096</v>
      </c>
      <c r="L107" s="809"/>
      <c r="M107" s="809"/>
      <c r="N107" s="809"/>
      <c r="O107" s="809"/>
      <c r="P107" s="809"/>
      <c r="Q107" s="5"/>
      <c r="R107" s="5"/>
      <c r="S107" s="5"/>
      <c r="T107" s="5"/>
      <c r="U107" s="265">
        <f>'Inner Vessel Shell Thickness'!E59</f>
        <v>2.2148566682168891</v>
      </c>
      <c r="V107" s="5">
        <f t="shared" ref="V107:V114" si="2">U107*$V$103</f>
        <v>3.8645112860910684</v>
      </c>
      <c r="W107" s="5"/>
      <c r="X107" s="5"/>
      <c r="Y107" s="5"/>
    </row>
    <row r="108" spans="1:25" x14ac:dyDescent="0.2">
      <c r="A108" s="5" t="s">
        <v>2097</v>
      </c>
      <c r="B108" s="265">
        <f>B31*B37*B36^2/B30^2</f>
        <v>23.305320750000003</v>
      </c>
      <c r="C108" s="5"/>
      <c r="D108" s="5"/>
      <c r="E108" s="5"/>
      <c r="F108" s="5"/>
      <c r="G108" s="5"/>
      <c r="H108" s="5"/>
      <c r="I108" s="5" t="s">
        <v>2097</v>
      </c>
      <c r="J108" s="686">
        <f>B108</f>
        <v>23.305320750000003</v>
      </c>
      <c r="K108" s="5"/>
      <c r="L108" s="5"/>
      <c r="M108" s="5"/>
      <c r="N108" s="5"/>
      <c r="O108" s="5"/>
      <c r="P108" s="5"/>
      <c r="Q108" s="5"/>
      <c r="R108" s="5"/>
      <c r="S108" s="5">
        <f>(B50*(1+0.4*B9)+1.273*B101/B36^2)/(1000*S106)</f>
        <v>13.449129631108237</v>
      </c>
      <c r="T108" s="5"/>
      <c r="U108" s="265">
        <f>'Inner Vessel Shell Thickness'!E60</f>
        <v>1.163355087701333</v>
      </c>
      <c r="V108" s="5">
        <f t="shared" si="2"/>
        <v>2.0298373843634274</v>
      </c>
      <c r="W108" s="5"/>
      <c r="X108" s="5"/>
      <c r="Y108" s="5"/>
    </row>
    <row r="109" spans="1:25" ht="25.5" customHeight="1" x14ac:dyDescent="0.2">
      <c r="A109" s="571" t="s">
        <v>2098</v>
      </c>
      <c r="B109" s="693">
        <f>B107/B106</f>
        <v>2.8132422361356308</v>
      </c>
      <c r="C109" s="694" t="str">
        <f>IF(B109&gt;1,"OK","ERROR")</f>
        <v>OK</v>
      </c>
      <c r="D109" s="5"/>
      <c r="E109" s="5"/>
      <c r="F109" s="5"/>
      <c r="G109" s="5"/>
      <c r="H109" s="5"/>
      <c r="I109" s="571" t="s">
        <v>2098</v>
      </c>
      <c r="J109" s="693">
        <f>J107/J106</f>
        <v>2.8132422361356308</v>
      </c>
      <c r="K109" s="694" t="str">
        <f>IF(J109&gt;1,"OK","ERROR")</f>
        <v>OK</v>
      </c>
      <c r="L109" s="5"/>
      <c r="M109" s="5"/>
      <c r="N109" s="5"/>
      <c r="O109" s="5"/>
      <c r="P109" s="5"/>
      <c r="Q109" s="5"/>
      <c r="R109" s="5"/>
      <c r="S109" s="5">
        <f>IF(B108&lt;44,83*S106/(2.5*B36)+7.5*(B37*B31*0.001)^0.5,83*S106/(B36))</f>
        <v>9.6297376898611127</v>
      </c>
      <c r="T109" s="5"/>
      <c r="U109" s="265">
        <f>'Inner Vessel Shell Thickness'!E61</f>
        <v>0.97934231111111103</v>
      </c>
      <c r="V109" s="5">
        <f t="shared" si="2"/>
        <v>1.7087694515610912</v>
      </c>
      <c r="W109" s="5"/>
      <c r="X109" s="5"/>
      <c r="Y109" s="5"/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265">
        <f>'Inner Vessel Shell Thickness'!E62</f>
        <v>0.97934231111111103</v>
      </c>
      <c r="V110" s="5">
        <f t="shared" si="2"/>
        <v>1.7087694515610912</v>
      </c>
      <c r="W110" s="5"/>
      <c r="X110" s="5"/>
      <c r="Y110" s="5"/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>
        <f>S108-S109</f>
        <v>3.8193919412471242</v>
      </c>
      <c r="T111" s="5"/>
      <c r="U111" s="265">
        <f>'Inner Vessel Shell Thickness'!E63</f>
        <v>0.97934231111111103</v>
      </c>
      <c r="V111" s="5">
        <f t="shared" si="2"/>
        <v>1.7087694515610912</v>
      </c>
      <c r="W111" s="5"/>
      <c r="X111" s="5"/>
      <c r="Y111" s="5"/>
    </row>
    <row r="112" spans="1:25" x14ac:dyDescent="0.2">
      <c r="A112" s="1066" t="s">
        <v>2099</v>
      </c>
      <c r="B112" s="809"/>
      <c r="C112" s="809"/>
      <c r="D112" s="809"/>
      <c r="E112" s="809"/>
      <c r="F112" s="809"/>
      <c r="G112" s="809"/>
      <c r="H112" s="809"/>
      <c r="I112" s="1066" t="s">
        <v>2100</v>
      </c>
      <c r="J112" s="809"/>
      <c r="K112" s="809"/>
      <c r="L112" s="809"/>
      <c r="M112" s="809"/>
      <c r="N112" s="809"/>
      <c r="O112" s="809"/>
      <c r="P112" s="809"/>
      <c r="Q112" s="5"/>
      <c r="R112" s="5"/>
      <c r="S112" s="5"/>
      <c r="T112" s="5"/>
      <c r="U112" s="265">
        <f>'Inner Vessel Shell Thickness'!E64</f>
        <v>0.97934231111111103</v>
      </c>
      <c r="V112" s="5">
        <f t="shared" si="2"/>
        <v>1.7087694515610912</v>
      </c>
      <c r="W112" s="5"/>
      <c r="X112" s="5"/>
      <c r="Y112" s="5"/>
    </row>
    <row r="113" spans="1:25" x14ac:dyDescent="0.2">
      <c r="A113" s="809"/>
      <c r="B113" s="809"/>
      <c r="C113" s="809"/>
      <c r="D113" s="809"/>
      <c r="E113" s="809"/>
      <c r="F113" s="809"/>
      <c r="G113" s="809"/>
      <c r="H113" s="809"/>
      <c r="I113" s="809"/>
      <c r="J113" s="809"/>
      <c r="K113" s="809"/>
      <c r="L113" s="809"/>
      <c r="M113" s="809"/>
      <c r="N113" s="809"/>
      <c r="O113" s="809"/>
      <c r="P113" s="809"/>
      <c r="Q113" s="5"/>
      <c r="R113" s="5"/>
      <c r="S113" s="5"/>
      <c r="T113" s="5"/>
      <c r="U113" s="265">
        <f>'Inner Vessel Shell Thickness'!E65</f>
        <v>0.97934231111111103</v>
      </c>
      <c r="V113" s="5">
        <f t="shared" si="2"/>
        <v>1.7087694515610912</v>
      </c>
      <c r="W113" s="5"/>
      <c r="X113" s="5"/>
      <c r="Y113" s="5"/>
    </row>
    <row r="114" spans="1:25" x14ac:dyDescent="0.2">
      <c r="A114" s="5"/>
      <c r="B114" s="263"/>
      <c r="C114" s="5"/>
      <c r="D114" s="5"/>
      <c r="E114" s="5"/>
      <c r="F114" s="5"/>
      <c r="G114" s="5"/>
      <c r="H114" s="5"/>
      <c r="I114" s="5"/>
      <c r="J114" s="263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265" t="e">
        <f>'Inner Vessel Shell Thickness'!#REF!</f>
        <v>#REF!</v>
      </c>
      <c r="V114" s="5" t="e">
        <f t="shared" si="2"/>
        <v>#REF!</v>
      </c>
      <c r="W114" s="5"/>
      <c r="X114" s="5"/>
      <c r="Y114" s="5"/>
    </row>
    <row r="115" spans="1:25" ht="41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 t="s">
        <v>1435</v>
      </c>
      <c r="S115" s="5"/>
      <c r="T115" s="5"/>
      <c r="U115" s="5" t="e">
        <f>'Inner Vessel Shell Thickness'!#REF!</f>
        <v>#REF!</v>
      </c>
      <c r="V115" s="5"/>
      <c r="W115" s="5"/>
      <c r="X115" s="5"/>
      <c r="Y115" s="5"/>
    </row>
    <row r="116" spans="1:25" x14ac:dyDescent="0.2">
      <c r="A116" s="5" t="s">
        <v>2101</v>
      </c>
      <c r="B116" s="263">
        <f>(1.273*B101/B36^2-B50*(1-0.4*B9))</f>
        <v>40932.016863829282</v>
      </c>
      <c r="C116" s="5" t="s">
        <v>2102</v>
      </c>
      <c r="D116" s="5"/>
      <c r="E116" s="5"/>
      <c r="F116" s="5"/>
      <c r="G116" s="5"/>
      <c r="H116" s="5"/>
      <c r="I116" s="5" t="s">
        <v>2101</v>
      </c>
      <c r="J116" s="263">
        <f>B116</f>
        <v>40932.016863829282</v>
      </c>
      <c r="K116" s="5" t="s">
        <v>2102</v>
      </c>
      <c r="L116" s="5"/>
      <c r="M116" s="5"/>
      <c r="N116" s="5"/>
      <c r="O116" s="5"/>
      <c r="P116" s="5"/>
      <c r="Q116" s="5"/>
      <c r="R116" s="5" t="s">
        <v>2103</v>
      </c>
      <c r="S116" s="5"/>
      <c r="T116" s="5"/>
      <c r="U116" s="5"/>
      <c r="V116" s="5"/>
      <c r="W116" s="5"/>
      <c r="X116" s="5"/>
      <c r="Y116" s="5"/>
    </row>
    <row r="117" spans="1:25" x14ac:dyDescent="0.2">
      <c r="A117" s="5" t="s">
        <v>2104</v>
      </c>
      <c r="B117" s="263">
        <f>B116*PI()*B36/'Main Dimensions Calcs'!D61</f>
        <v>44149.825060100069</v>
      </c>
      <c r="C117" s="5" t="s">
        <v>2105</v>
      </c>
      <c r="D117" s="5"/>
      <c r="E117" s="5"/>
      <c r="F117" s="5"/>
      <c r="G117" s="5"/>
      <c r="H117" s="5"/>
      <c r="I117" s="5" t="s">
        <v>2104</v>
      </c>
      <c r="J117" s="263">
        <f>B117*0.225</f>
        <v>9933.7106385225161</v>
      </c>
      <c r="K117" s="64" t="s">
        <v>2106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x14ac:dyDescent="0.2">
      <c r="A118" s="5" t="s">
        <v>2107</v>
      </c>
      <c r="B118" s="263">
        <f>B117/('Main Dimensions Calcs'!D64*'Main Dimensions Calcs'!E64)+'Inner Tank Anchors'!B29*0.7</f>
        <v>48.886918513200584</v>
      </c>
      <c r="C118" s="5" t="s">
        <v>2108</v>
      </c>
      <c r="D118" s="5"/>
      <c r="E118" s="5"/>
      <c r="F118" s="5"/>
      <c r="G118" s="5"/>
      <c r="H118" s="5"/>
      <c r="I118" s="5" t="s">
        <v>2107</v>
      </c>
      <c r="J118" s="686">
        <f>B118*145.04</f>
        <v>7090.5586611546123</v>
      </c>
      <c r="K118" s="695" t="s">
        <v>2109</v>
      </c>
      <c r="L118" s="274"/>
      <c r="M118" s="274"/>
      <c r="N118" s="274"/>
      <c r="O118" s="274"/>
      <c r="P118" s="274"/>
      <c r="Q118" s="5"/>
      <c r="R118" s="5"/>
      <c r="S118" s="5">
        <f>(B50*(1+0.44*B9)+1.273*B101/B36^2)</f>
        <v>77421.283295942994</v>
      </c>
      <c r="T118" s="982" t="s">
        <v>2110</v>
      </c>
      <c r="U118" s="809"/>
      <c r="V118" s="809"/>
      <c r="W118" s="809"/>
      <c r="X118" s="809"/>
      <c r="Y118" s="809"/>
    </row>
    <row r="119" spans="1:25" x14ac:dyDescent="0.2">
      <c r="A119" s="571"/>
      <c r="B119" s="571">
        <f>B26*0.8</f>
        <v>165.44000000000003</v>
      </c>
      <c r="C119" s="571" t="s">
        <v>2111</v>
      </c>
      <c r="D119" s="5"/>
      <c r="E119" s="5"/>
      <c r="F119" s="5"/>
      <c r="G119" s="5"/>
      <c r="H119" s="5"/>
      <c r="I119" s="571"/>
      <c r="J119" s="686">
        <f>B119*145.04</f>
        <v>23995.417600000001</v>
      </c>
      <c r="K119" s="571" t="s">
        <v>2112</v>
      </c>
      <c r="L119" s="5"/>
      <c r="M119" s="5"/>
      <c r="N119" s="5"/>
      <c r="O119" s="5"/>
      <c r="P119" s="5"/>
      <c r="Q119" s="5"/>
      <c r="R119" s="5"/>
      <c r="S119" s="5">
        <f>S118/1000/('Main Dimensions Calcs'!E86*1000)</f>
        <v>8.6023648106603331E-2</v>
      </c>
      <c r="T119" s="5" t="s">
        <v>2113</v>
      </c>
      <c r="U119" s="5"/>
      <c r="V119" s="5"/>
      <c r="W119" s="5"/>
      <c r="X119" s="5"/>
      <c r="Y119" s="5"/>
    </row>
    <row r="120" spans="1:25" x14ac:dyDescent="0.2">
      <c r="A120" s="571" t="s">
        <v>2098</v>
      </c>
      <c r="B120" s="693">
        <f>B119/B118</f>
        <v>3.3841363913196423</v>
      </c>
      <c r="C120" s="694" t="str">
        <f>IF(B120&gt;1,"OK","ERROR")</f>
        <v>OK</v>
      </c>
      <c r="D120" s="5"/>
      <c r="E120" s="5"/>
      <c r="F120" s="5"/>
      <c r="G120" s="5"/>
      <c r="H120" s="5"/>
      <c r="I120" s="571" t="s">
        <v>2098</v>
      </c>
      <c r="J120" s="693">
        <f>J119/J118</f>
        <v>3.3841363913196418</v>
      </c>
      <c r="K120" s="694" t="str">
        <f>IF(J120&gt;1,"OK","ERROR")</f>
        <v>OK</v>
      </c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.5" customHeight="1" thickBo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7.25" customHeight="1" thickTop="1" thickBot="1" x14ac:dyDescent="0.3">
      <c r="A124" s="28"/>
      <c r="B124" s="4"/>
      <c r="C124" s="408"/>
      <c r="D124" s="934" t="str">
        <f>'Front Page'!$A$13</f>
        <v>Mechanical  Calculations</v>
      </c>
      <c r="E124" s="842"/>
      <c r="F124" s="842"/>
      <c r="G124" s="842"/>
      <c r="H124" s="859"/>
      <c r="I124" s="28"/>
      <c r="J124" s="4"/>
      <c r="K124" s="408"/>
      <c r="L124" s="934" t="str">
        <f>'Front Page'!$A$13</f>
        <v>Mechanical  Calculations</v>
      </c>
      <c r="M124" s="842"/>
      <c r="N124" s="842"/>
      <c r="O124" s="842"/>
      <c r="P124" s="859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6.5" customHeight="1" thickBot="1" x14ac:dyDescent="0.3">
      <c r="A125" s="6"/>
      <c r="B125" s="5"/>
      <c r="C125" s="14"/>
      <c r="D125" s="984"/>
      <c r="E125" s="831"/>
      <c r="F125" s="831"/>
      <c r="G125" s="831"/>
      <c r="H125" s="854"/>
      <c r="I125" s="6"/>
      <c r="J125" s="5"/>
      <c r="K125" s="14"/>
      <c r="L125" s="984">
        <f>'Front Page'!$A$21</f>
        <v>0</v>
      </c>
      <c r="M125" s="831"/>
      <c r="N125" s="831"/>
      <c r="O125" s="831"/>
      <c r="P125" s="854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6.5" customHeight="1" thickBot="1" x14ac:dyDescent="0.3">
      <c r="A126" s="8"/>
      <c r="B126" s="9"/>
      <c r="C126" s="409"/>
      <c r="D126" s="985" t="s">
        <v>1954</v>
      </c>
      <c r="E126" s="834"/>
      <c r="F126" s="834"/>
      <c r="G126" s="834"/>
      <c r="H126" s="986"/>
      <c r="I126" s="8"/>
      <c r="J126" s="9"/>
      <c r="K126" s="409"/>
      <c r="L126" s="985" t="s">
        <v>1954</v>
      </c>
      <c r="M126" s="834"/>
      <c r="N126" s="834"/>
      <c r="O126" s="834"/>
      <c r="P126" s="986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6.5" customHeight="1" thickTop="1" thickBot="1" x14ac:dyDescent="0.3">
      <c r="A127" s="873"/>
      <c r="B127" s="848"/>
      <c r="C127" s="865"/>
      <c r="D127" s="385" t="str">
        <f>'Front Page'!$D$4</f>
        <v>Doc Nº</v>
      </c>
      <c r="E127" s="980"/>
      <c r="F127" s="843"/>
      <c r="G127" s="980"/>
      <c r="H127" s="843"/>
      <c r="I127" s="873"/>
      <c r="J127" s="848"/>
      <c r="K127" s="865"/>
      <c r="L127" s="385" t="str">
        <f>'Front Page'!$D$4</f>
        <v>Doc Nº</v>
      </c>
      <c r="M127" s="980"/>
      <c r="N127" s="843"/>
      <c r="O127" s="980"/>
      <c r="P127" s="843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 thickBot="1" x14ac:dyDescent="0.3">
      <c r="A128" s="860"/>
      <c r="B128" s="851"/>
      <c r="C128" s="861"/>
      <c r="D128" s="386" t="str">
        <f>'Front Page'!$D$5</f>
        <v>Project</v>
      </c>
      <c r="E128" s="899"/>
      <c r="F128" s="835"/>
      <c r="G128" s="131" t="s">
        <v>5</v>
      </c>
      <c r="H128" s="132"/>
      <c r="I128" s="860"/>
      <c r="J128" s="851"/>
      <c r="K128" s="861"/>
      <c r="L128" s="386" t="str">
        <f>'Front Page'!$D$5</f>
        <v>Project</v>
      </c>
      <c r="M128" s="899"/>
      <c r="N128" s="835"/>
      <c r="O128" s="131" t="s">
        <v>5</v>
      </c>
      <c r="P128" s="427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.5" customHeight="1" thickTop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x14ac:dyDescent="0.2">
      <c r="A130" s="927" t="s">
        <v>2114</v>
      </c>
      <c r="B130" s="809"/>
      <c r="C130" s="809"/>
      <c r="D130" s="809"/>
      <c r="E130" s="809"/>
      <c r="F130" s="809"/>
      <c r="G130" s="809"/>
      <c r="H130" s="809"/>
      <c r="I130" s="927" t="s">
        <v>2114</v>
      </c>
      <c r="J130" s="809"/>
      <c r="K130" s="809"/>
      <c r="L130" s="809"/>
      <c r="M130" s="809"/>
      <c r="N130" s="809"/>
      <c r="O130" s="809"/>
      <c r="P130" s="809"/>
      <c r="Q130" s="5"/>
      <c r="R130" s="5"/>
      <c r="S130" s="5"/>
      <c r="T130" s="5"/>
      <c r="U130" s="5"/>
      <c r="V130" s="5"/>
      <c r="W130" s="5"/>
      <c r="X130" s="5"/>
      <c r="Y130" s="5"/>
    </row>
    <row r="131" spans="1:25" x14ac:dyDescent="0.2">
      <c r="A131" s="809"/>
      <c r="B131" s="809"/>
      <c r="C131" s="809"/>
      <c r="D131" s="809"/>
      <c r="E131" s="809"/>
      <c r="F131" s="809"/>
      <c r="G131" s="809"/>
      <c r="H131" s="809"/>
      <c r="I131" s="809"/>
      <c r="J131" s="809"/>
      <c r="K131" s="809"/>
      <c r="L131" s="809"/>
      <c r="M131" s="809"/>
      <c r="N131" s="809"/>
      <c r="O131" s="809"/>
      <c r="P131" s="809"/>
      <c r="Q131" s="5"/>
      <c r="R131" s="5"/>
      <c r="S131" s="5"/>
      <c r="T131" s="5"/>
      <c r="U131" s="5"/>
      <c r="V131" s="5"/>
      <c r="W131" s="5"/>
      <c r="X131" s="5"/>
      <c r="Y131" s="5"/>
    </row>
    <row r="132" spans="1:25" x14ac:dyDescent="0.2">
      <c r="A132" s="809"/>
      <c r="B132" s="809"/>
      <c r="C132" s="809"/>
      <c r="D132" s="809"/>
      <c r="E132" s="809"/>
      <c r="F132" s="809"/>
      <c r="G132" s="809"/>
      <c r="H132" s="809"/>
      <c r="I132" s="809"/>
      <c r="J132" s="809"/>
      <c r="K132" s="809"/>
      <c r="L132" s="809"/>
      <c r="M132" s="809"/>
      <c r="N132" s="809"/>
      <c r="O132" s="809"/>
      <c r="P132" s="809"/>
      <c r="Q132" s="5"/>
      <c r="R132" s="5"/>
      <c r="S132" s="5"/>
      <c r="T132" s="5"/>
      <c r="U132" s="5"/>
      <c r="V132" s="5"/>
      <c r="W132" s="5"/>
      <c r="X132" s="5"/>
      <c r="Y132" s="5"/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x14ac:dyDescent="0.2">
      <c r="A134" s="14" t="s">
        <v>2115</v>
      </c>
      <c r="B134" s="14" t="s">
        <v>2116</v>
      </c>
      <c r="C134" s="14" t="s">
        <v>2117</v>
      </c>
      <c r="D134" s="14" t="s">
        <v>2118</v>
      </c>
      <c r="E134" s="14" t="s">
        <v>360</v>
      </c>
      <c r="F134" s="14" t="s">
        <v>2119</v>
      </c>
      <c r="G134" s="14" t="s">
        <v>2120</v>
      </c>
      <c r="H134" s="5"/>
      <c r="I134" s="402" t="s">
        <v>2115</v>
      </c>
      <c r="J134" s="402" t="s">
        <v>2116</v>
      </c>
      <c r="K134" s="402" t="s">
        <v>2117</v>
      </c>
      <c r="L134" s="402" t="s">
        <v>2118</v>
      </c>
      <c r="M134" s="402" t="s">
        <v>360</v>
      </c>
      <c r="N134" s="402" t="s">
        <v>2119</v>
      </c>
      <c r="O134" s="402" t="s">
        <v>2120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58.5" customHeight="1" x14ac:dyDescent="0.2">
      <c r="A135" s="242" t="s">
        <v>2121</v>
      </c>
      <c r="B135" s="242" t="s">
        <v>2122</v>
      </c>
      <c r="C135" s="242" t="s">
        <v>2123</v>
      </c>
      <c r="D135" s="242" t="s">
        <v>2124</v>
      </c>
      <c r="E135" s="242" t="s">
        <v>2125</v>
      </c>
      <c r="F135" s="242" t="s">
        <v>2126</v>
      </c>
      <c r="G135" s="14"/>
      <c r="H135" s="5"/>
      <c r="I135" s="512" t="s">
        <v>2121</v>
      </c>
      <c r="J135" s="512" t="s">
        <v>2122</v>
      </c>
      <c r="K135" s="512" t="s">
        <v>2123</v>
      </c>
      <c r="L135" s="512" t="s">
        <v>2124</v>
      </c>
      <c r="M135" s="512" t="s">
        <v>2125</v>
      </c>
      <c r="N135" s="512" t="s">
        <v>2126</v>
      </c>
      <c r="O135" s="402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48" customHeight="1" x14ac:dyDescent="0.2">
      <c r="A136" s="543" t="s">
        <v>2127</v>
      </c>
      <c r="B136" s="543" t="s">
        <v>2128</v>
      </c>
      <c r="C136" s="543" t="s">
        <v>2129</v>
      </c>
      <c r="D136" s="543" t="s">
        <v>2130</v>
      </c>
      <c r="E136" s="543" t="s">
        <v>2131</v>
      </c>
      <c r="F136" s="543" t="s">
        <v>2132</v>
      </c>
      <c r="G136" s="14"/>
      <c r="H136" s="5"/>
      <c r="I136" s="626" t="s">
        <v>2127</v>
      </c>
      <c r="J136" s="626" t="s">
        <v>2128</v>
      </c>
      <c r="K136" s="626" t="s">
        <v>2129</v>
      </c>
      <c r="L136" s="626" t="s">
        <v>2130</v>
      </c>
      <c r="M136" s="626" t="s">
        <v>2131</v>
      </c>
      <c r="N136" s="626" t="s">
        <v>2132</v>
      </c>
      <c r="O136" s="402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.5" customHeight="1" x14ac:dyDescent="0.2">
      <c r="A137" s="218" t="s">
        <v>940</v>
      </c>
      <c r="B137" s="218" t="s">
        <v>940</v>
      </c>
      <c r="C137" s="218" t="s">
        <v>940</v>
      </c>
      <c r="D137" s="218" t="s">
        <v>247</v>
      </c>
      <c r="E137" s="218" t="s">
        <v>247</v>
      </c>
      <c r="F137" s="218" t="s">
        <v>941</v>
      </c>
      <c r="G137" s="14"/>
      <c r="H137" s="5"/>
      <c r="I137" s="508" t="s">
        <v>940</v>
      </c>
      <c r="J137" s="508" t="s">
        <v>940</v>
      </c>
      <c r="K137" s="508" t="s">
        <v>940</v>
      </c>
      <c r="L137" s="491" t="s">
        <v>248</v>
      </c>
      <c r="M137" s="491" t="s">
        <v>248</v>
      </c>
      <c r="N137" s="491" t="s">
        <v>926</v>
      </c>
      <c r="O137" s="402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x14ac:dyDescent="0.2">
      <c r="A138" s="417">
        <f t="shared" ref="A138:A145" si="3">IF(((D138/1000)&lt;($B$36*0.75)),(5.22*$B$56*$B$31*$B$36^2*(D138/(0.75*$B$36)-0.5*(D138*0.001/(0.75*$B$36))^2)), (2.6*$B$56*$B$31*$B$36^2))</f>
        <v>993337.84352283436</v>
      </c>
      <c r="B138" s="417">
        <f t="shared" ref="B138:B145" si="4">1.85*$B$57*$B$31*$B$36^2*COSH(3.68*($B$37-D138/1000)/$B$36)/(COSH(3.68*$B$37/$B$36))</f>
        <v>155.04011010448082</v>
      </c>
      <c r="C138" s="487">
        <f>'Inner Vessel Shell Thickness'!C58</f>
        <v>506708.91200000001</v>
      </c>
      <c r="D138" s="696">
        <f>'Main Dimensions Calcs'!D51</f>
        <v>4350</v>
      </c>
      <c r="E138" s="696">
        <f>'Main Dimensions Calcs'!H7</f>
        <v>8</v>
      </c>
      <c r="F138" s="417">
        <f t="shared" ref="F138:F145" si="5">(C138+SQRT(A138^2+B138^2+(C138*$B$9)^2))/E138/1000</f>
        <v>205.13251784210885</v>
      </c>
      <c r="G138" s="570">
        <f>'Allowable Stresses'!$G$31:$H$31*1.33/F138</f>
        <v>1.0058005234508984</v>
      </c>
      <c r="H138" s="5"/>
      <c r="I138" s="437">
        <f t="shared" ref="I138:J145" si="6">A138</f>
        <v>993337.84352283436</v>
      </c>
      <c r="J138" s="437">
        <f t="shared" si="6"/>
        <v>155.04011010448082</v>
      </c>
      <c r="K138" s="697">
        <f>'Inner Vessel Shell Thickness'!K58</f>
        <v>506708.91200000001</v>
      </c>
      <c r="L138" s="698">
        <f t="shared" ref="L138:M145" si="7">D138/25.4</f>
        <v>171.25984251968504</v>
      </c>
      <c r="M138" s="698">
        <f t="shared" si="7"/>
        <v>0.31496062992125984</v>
      </c>
      <c r="N138" s="699">
        <f t="shared" ref="N138:N145" si="8">F138*145.04</f>
        <v>29752.420387819468</v>
      </c>
      <c r="O138" s="700">
        <f t="shared" ref="O138:O145" si="9">G138</f>
        <v>1.0058005234508984</v>
      </c>
      <c r="P138" s="5" t="str">
        <f t="shared" ref="P138:P145" si="10">IF(O138&gt;1,"OK","Error")</f>
        <v>OK</v>
      </c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2.75" customHeight="1" x14ac:dyDescent="0.2">
      <c r="A139" s="417">
        <f t="shared" si="3"/>
        <v>536665.52730432001</v>
      </c>
      <c r="B139" s="417">
        <f t="shared" si="4"/>
        <v>165.04126532013453</v>
      </c>
      <c r="C139" s="487">
        <f>'Inner Vessel Shell Thickness'!C59</f>
        <v>343589.87200000003</v>
      </c>
      <c r="D139" s="696">
        <f>D138-'Main Dimensions Calcs'!I7</f>
        <v>2350</v>
      </c>
      <c r="E139" s="696">
        <f>'Main Dimensions Calcs'!H8</f>
        <v>8</v>
      </c>
      <c r="F139" s="417">
        <f t="shared" si="5"/>
        <v>124.53105591073385</v>
      </c>
      <c r="G139" s="570">
        <f>'Allowable Stresses'!$G$31:$H$31*1.33/F139</f>
        <v>1.6567947032448638</v>
      </c>
      <c r="H139" s="5"/>
      <c r="I139" s="437">
        <f t="shared" si="6"/>
        <v>536665.52730432001</v>
      </c>
      <c r="J139" s="437">
        <f t="shared" si="6"/>
        <v>165.04126532013453</v>
      </c>
      <c r="K139" s="697">
        <f>'Inner Vessel Shell Thickness'!K59</f>
        <v>343589.87200000003</v>
      </c>
      <c r="L139" s="698">
        <f t="shared" si="7"/>
        <v>92.519685039370088</v>
      </c>
      <c r="M139" s="698">
        <f t="shared" si="7"/>
        <v>0.31496062992125984</v>
      </c>
      <c r="N139" s="699">
        <f t="shared" si="8"/>
        <v>18061.984349292838</v>
      </c>
      <c r="O139" s="700">
        <f t="shared" si="9"/>
        <v>1.6567947032448638</v>
      </c>
      <c r="P139" s="5" t="str">
        <f t="shared" si="10"/>
        <v>OK</v>
      </c>
      <c r="Q139" s="5"/>
      <c r="R139" s="5"/>
      <c r="S139" s="5"/>
      <c r="T139" s="5"/>
      <c r="U139" s="5"/>
      <c r="V139" s="5"/>
      <c r="W139" s="5"/>
      <c r="X139" s="5"/>
      <c r="Y139" s="5"/>
    </row>
    <row r="140" spans="1:25" x14ac:dyDescent="0.2">
      <c r="A140" s="417">
        <f t="shared" si="3"/>
        <v>79934.082107519993</v>
      </c>
      <c r="B140" s="417">
        <f t="shared" si="4"/>
        <v>196.33501779132692</v>
      </c>
      <c r="C140" s="487">
        <f>'Inner Vessel Shell Thickness'!C60</f>
        <v>180470.83199999997</v>
      </c>
      <c r="D140" s="696">
        <f>D139-'Main Dimensions Calcs'!I8</f>
        <v>350</v>
      </c>
      <c r="E140" s="696">
        <f>'Main Dimensions Calcs'!H9</f>
        <v>8</v>
      </c>
      <c r="F140" s="417">
        <f t="shared" si="5"/>
        <v>48.912578241154364</v>
      </c>
      <c r="G140" s="570">
        <f>'Allowable Stresses'!$G$31:$H$31*1.33/F140</f>
        <v>4.2181868394906452</v>
      </c>
      <c r="H140" s="5"/>
      <c r="I140" s="437">
        <f t="shared" si="6"/>
        <v>79934.082107519993</v>
      </c>
      <c r="J140" s="437">
        <f t="shared" si="6"/>
        <v>196.33501779132692</v>
      </c>
      <c r="K140" s="697">
        <f>'Inner Vessel Shell Thickness'!K60</f>
        <v>180470.83199999997</v>
      </c>
      <c r="L140" s="698">
        <f t="shared" si="7"/>
        <v>13.779527559055119</v>
      </c>
      <c r="M140" s="698">
        <f t="shared" si="7"/>
        <v>0.31496062992125984</v>
      </c>
      <c r="N140" s="699">
        <f t="shared" si="8"/>
        <v>7094.2803480970288</v>
      </c>
      <c r="O140" s="700">
        <f t="shared" si="9"/>
        <v>4.2181868394906452</v>
      </c>
      <c r="P140" s="5" t="str">
        <f t="shared" si="10"/>
        <v>OK</v>
      </c>
      <c r="Q140" s="5"/>
      <c r="R140" s="5"/>
      <c r="S140" s="5"/>
      <c r="T140" s="5"/>
      <c r="U140" s="5"/>
      <c r="V140" s="5"/>
      <c r="W140" s="5"/>
      <c r="X140" s="5"/>
      <c r="Y140" s="5"/>
    </row>
    <row r="141" spans="1:25" x14ac:dyDescent="0.2">
      <c r="A141" s="417">
        <f t="shared" si="3"/>
        <v>-376856.49206756573</v>
      </c>
      <c r="B141" s="417">
        <f t="shared" si="4"/>
        <v>252.958692769359</v>
      </c>
      <c r="C141" s="487">
        <f>'Inner Vessel Shell Thickness'!C61</f>
        <v>151925</v>
      </c>
      <c r="D141" s="696">
        <f>D140-'Main Dimensions Calcs'!I9</f>
        <v>-1650</v>
      </c>
      <c r="E141" s="696">
        <f>'Main Dimensions Calcs'!H10</f>
        <v>8</v>
      </c>
      <c r="F141" s="417">
        <f t="shared" si="5"/>
        <v>70.376523528914149</v>
      </c>
      <c r="G141" s="570">
        <f>'Allowable Stresses'!$G$31:$H$31*1.33/F141</f>
        <v>2.9316934607835017</v>
      </c>
      <c r="H141" s="5"/>
      <c r="I141" s="437">
        <f t="shared" si="6"/>
        <v>-376856.49206756573</v>
      </c>
      <c r="J141" s="437">
        <f t="shared" si="6"/>
        <v>252.958692769359</v>
      </c>
      <c r="K141" s="697">
        <f>'Inner Vessel Shell Thickness'!K61</f>
        <v>151925</v>
      </c>
      <c r="L141" s="698">
        <f t="shared" si="7"/>
        <v>-64.960629921259851</v>
      </c>
      <c r="M141" s="698">
        <f t="shared" si="7"/>
        <v>0.31496062992125984</v>
      </c>
      <c r="N141" s="699">
        <f t="shared" si="8"/>
        <v>10207.410972633708</v>
      </c>
      <c r="O141" s="700">
        <f t="shared" si="9"/>
        <v>2.9316934607835017</v>
      </c>
      <c r="P141" s="5" t="str">
        <f t="shared" si="10"/>
        <v>OK</v>
      </c>
      <c r="Q141" s="5"/>
      <c r="R141" s="5"/>
      <c r="S141" s="5"/>
      <c r="T141" s="5"/>
      <c r="U141" s="5"/>
      <c r="V141" s="5"/>
      <c r="W141" s="5"/>
      <c r="X141" s="5"/>
      <c r="Y141" s="5"/>
    </row>
    <row r="142" spans="1:25" x14ac:dyDescent="0.2">
      <c r="A142" s="417">
        <f t="shared" si="3"/>
        <v>-719488.22609088011</v>
      </c>
      <c r="B142" s="417">
        <f t="shared" si="4"/>
        <v>316.29721489047472</v>
      </c>
      <c r="C142" s="487">
        <f>'Inner Vessel Shell Thickness'!C62</f>
        <v>151925</v>
      </c>
      <c r="D142" s="696">
        <f>D141-'Main Dimensions Calcs'!I10</f>
        <v>-3150</v>
      </c>
      <c r="E142" s="696">
        <f>'Main Dimensions Calcs'!H11</f>
        <v>0</v>
      </c>
      <c r="F142" s="417" t="e">
        <f t="shared" si="5"/>
        <v>#DIV/0!</v>
      </c>
      <c r="G142" s="570" t="e">
        <f>'Allowable Stresses'!$G$31:$H$31*1.33/F142</f>
        <v>#DIV/0!</v>
      </c>
      <c r="H142" s="5"/>
      <c r="I142" s="437">
        <f t="shared" si="6"/>
        <v>-719488.22609088011</v>
      </c>
      <c r="J142" s="437">
        <f t="shared" si="6"/>
        <v>316.29721489047472</v>
      </c>
      <c r="K142" s="697">
        <f>'Inner Vessel Shell Thickness'!K62</f>
        <v>151925</v>
      </c>
      <c r="L142" s="698">
        <f t="shared" si="7"/>
        <v>-124.01574803149607</v>
      </c>
      <c r="M142" s="698">
        <f t="shared" si="7"/>
        <v>0</v>
      </c>
      <c r="N142" s="699" t="e">
        <f t="shared" si="8"/>
        <v>#DIV/0!</v>
      </c>
      <c r="O142" s="700" t="e">
        <f t="shared" si="9"/>
        <v>#DIV/0!</v>
      </c>
      <c r="P142" s="5" t="e">
        <f t="shared" si="10"/>
        <v>#DIV/0!</v>
      </c>
      <c r="Q142" s="5"/>
      <c r="R142" s="5"/>
      <c r="S142" s="5"/>
      <c r="T142" s="5"/>
      <c r="U142" s="5"/>
      <c r="V142" s="5"/>
      <c r="W142" s="5"/>
      <c r="X142" s="5"/>
      <c r="Y142" s="5"/>
    </row>
    <row r="143" spans="1:25" x14ac:dyDescent="0.2">
      <c r="A143" s="417">
        <f t="shared" si="3"/>
        <v>-719488.22609088011</v>
      </c>
      <c r="B143" s="417">
        <f t="shared" si="4"/>
        <v>316.29721489047472</v>
      </c>
      <c r="C143" s="487">
        <f>'Inner Vessel Shell Thickness'!C63</f>
        <v>151925</v>
      </c>
      <c r="D143" s="696">
        <f>D142-'Main Dimensions Calcs'!I11</f>
        <v>-3150</v>
      </c>
      <c r="E143" s="696">
        <f>'Main Dimensions Calcs'!H12</f>
        <v>0</v>
      </c>
      <c r="F143" s="417" t="e">
        <f t="shared" si="5"/>
        <v>#DIV/0!</v>
      </c>
      <c r="G143" s="570" t="e">
        <f>'Allowable Stresses'!$G$31:$H$31*1.33/F143</f>
        <v>#DIV/0!</v>
      </c>
      <c r="H143" s="5"/>
      <c r="I143" s="437">
        <f t="shared" si="6"/>
        <v>-719488.22609088011</v>
      </c>
      <c r="J143" s="437">
        <f t="shared" si="6"/>
        <v>316.29721489047472</v>
      </c>
      <c r="K143" s="697">
        <f>'Inner Vessel Shell Thickness'!K63</f>
        <v>151925</v>
      </c>
      <c r="L143" s="698">
        <f t="shared" si="7"/>
        <v>-124.01574803149607</v>
      </c>
      <c r="M143" s="698">
        <f t="shared" si="7"/>
        <v>0</v>
      </c>
      <c r="N143" s="699" t="e">
        <f t="shared" si="8"/>
        <v>#DIV/0!</v>
      </c>
      <c r="O143" s="700" t="e">
        <f t="shared" si="9"/>
        <v>#DIV/0!</v>
      </c>
      <c r="P143" s="5" t="e">
        <f t="shared" si="10"/>
        <v>#DIV/0!</v>
      </c>
      <c r="Q143" s="5"/>
      <c r="R143" s="5"/>
      <c r="S143" s="5"/>
      <c r="T143" s="5"/>
      <c r="U143" s="5"/>
      <c r="V143" s="5"/>
      <c r="W143" s="5"/>
      <c r="X143" s="5"/>
      <c r="Y143" s="5"/>
    </row>
    <row r="144" spans="1:25" x14ac:dyDescent="0.2">
      <c r="A144" s="417">
        <f t="shared" si="3"/>
        <v>-719488.22609088011</v>
      </c>
      <c r="B144" s="417">
        <f t="shared" si="4"/>
        <v>316.29721489047472</v>
      </c>
      <c r="C144" s="487">
        <f>'Inner Vessel Shell Thickness'!C64</f>
        <v>151925</v>
      </c>
      <c r="D144" s="696">
        <f>D143-'Main Dimensions Calcs'!I12</f>
        <v>-3150</v>
      </c>
      <c r="E144" s="696">
        <f>'Main Dimensions Calcs'!H13</f>
        <v>0</v>
      </c>
      <c r="F144" s="417" t="e">
        <f t="shared" si="5"/>
        <v>#DIV/0!</v>
      </c>
      <c r="G144" s="570" t="e">
        <f>'Allowable Stresses'!$G$31:$H$31*1.33/F144</f>
        <v>#DIV/0!</v>
      </c>
      <c r="H144" s="5"/>
      <c r="I144" s="437">
        <f t="shared" si="6"/>
        <v>-719488.22609088011</v>
      </c>
      <c r="J144" s="437">
        <f t="shared" si="6"/>
        <v>316.29721489047472</v>
      </c>
      <c r="K144" s="697">
        <f>'Inner Vessel Shell Thickness'!K64</f>
        <v>151925</v>
      </c>
      <c r="L144" s="698">
        <f t="shared" si="7"/>
        <v>-124.01574803149607</v>
      </c>
      <c r="M144" s="698">
        <f t="shared" si="7"/>
        <v>0</v>
      </c>
      <c r="N144" s="699" t="e">
        <f t="shared" si="8"/>
        <v>#DIV/0!</v>
      </c>
      <c r="O144" s="700" t="e">
        <f t="shared" si="9"/>
        <v>#DIV/0!</v>
      </c>
      <c r="P144" s="5" t="e">
        <f t="shared" si="10"/>
        <v>#DIV/0!</v>
      </c>
      <c r="Q144" s="5"/>
      <c r="R144" s="5"/>
      <c r="S144" s="5"/>
      <c r="T144" s="5"/>
      <c r="U144" s="5"/>
      <c r="V144" s="5"/>
      <c r="W144" s="5"/>
      <c r="X144" s="5"/>
      <c r="Y144" s="5"/>
    </row>
    <row r="145" spans="1:25" x14ac:dyDescent="0.2">
      <c r="A145" s="417">
        <f t="shared" si="3"/>
        <v>-719488.22609088011</v>
      </c>
      <c r="B145" s="417">
        <f t="shared" si="4"/>
        <v>316.29721489047472</v>
      </c>
      <c r="C145" s="487">
        <f>'Inner Vessel Shell Thickness'!C65</f>
        <v>151925</v>
      </c>
      <c r="D145" s="696">
        <f>D144-'Main Dimensions Calcs'!I13</f>
        <v>-3150</v>
      </c>
      <c r="E145" s="696">
        <f>'Main Dimensions Calcs'!H14</f>
        <v>0</v>
      </c>
      <c r="F145" s="417" t="e">
        <f t="shared" si="5"/>
        <v>#DIV/0!</v>
      </c>
      <c r="G145" s="570" t="e">
        <f>'Allowable Stresses'!$G$31:$H$31*1.33/F145</f>
        <v>#DIV/0!</v>
      </c>
      <c r="H145" s="5"/>
      <c r="I145" s="437">
        <f t="shared" si="6"/>
        <v>-719488.22609088011</v>
      </c>
      <c r="J145" s="437">
        <f t="shared" si="6"/>
        <v>316.29721489047472</v>
      </c>
      <c r="K145" s="697">
        <f>'Inner Vessel Shell Thickness'!K65</f>
        <v>151925</v>
      </c>
      <c r="L145" s="698">
        <f t="shared" si="7"/>
        <v>-124.01574803149607</v>
      </c>
      <c r="M145" s="698">
        <f t="shared" si="7"/>
        <v>0</v>
      </c>
      <c r="N145" s="699" t="e">
        <f t="shared" si="8"/>
        <v>#DIV/0!</v>
      </c>
      <c r="O145" s="700" t="e">
        <f t="shared" si="9"/>
        <v>#DIV/0!</v>
      </c>
      <c r="P145" s="5" t="e">
        <f t="shared" si="10"/>
        <v>#DIV/0!</v>
      </c>
      <c r="Q145" s="5"/>
      <c r="R145" s="5"/>
      <c r="S145" s="5"/>
      <c r="T145" s="5"/>
      <c r="U145" s="5"/>
      <c r="V145" s="5"/>
      <c r="W145" s="5"/>
      <c r="X145" s="5"/>
      <c r="Y145" s="5"/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0.25" customHeight="1" x14ac:dyDescent="0.3">
      <c r="A147" s="63" t="s">
        <v>2133</v>
      </c>
      <c r="B147" s="5"/>
      <c r="C147" s="5"/>
      <c r="D147" s="5"/>
      <c r="E147" s="5"/>
      <c r="F147" s="5"/>
      <c r="G147" s="5"/>
      <c r="H147" s="5"/>
      <c r="I147" s="63" t="s">
        <v>2133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x14ac:dyDescent="0.2">
      <c r="A149" s="5" t="s">
        <v>2134</v>
      </c>
      <c r="B149" s="265">
        <f>0.42*B36*B58</f>
        <v>2.7859440000000002</v>
      </c>
      <c r="C149" s="5" t="s">
        <v>2135</v>
      </c>
      <c r="D149" s="5"/>
      <c r="E149" s="5"/>
      <c r="F149" s="5"/>
      <c r="G149" s="5"/>
      <c r="H149" s="5"/>
      <c r="I149" s="5" t="s">
        <v>2134</v>
      </c>
      <c r="J149" s="635">
        <f>B149*1000/25.4</f>
        <v>109.68283464566932</v>
      </c>
      <c r="K149" s="64" t="s">
        <v>2136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x14ac:dyDescent="0.2">
      <c r="A150" s="5" t="s">
        <v>2137</v>
      </c>
      <c r="B150" s="265">
        <f>B149</f>
        <v>2.7859440000000002</v>
      </c>
      <c r="C150" s="5" t="s">
        <v>2138</v>
      </c>
      <c r="D150" s="5"/>
      <c r="E150" s="5"/>
      <c r="F150" s="5"/>
      <c r="G150" s="5"/>
      <c r="H150" s="5"/>
      <c r="I150" s="5" t="s">
        <v>2137</v>
      </c>
      <c r="J150" s="635">
        <f>B150*1000/25.4</f>
        <v>109.68283464566932</v>
      </c>
      <c r="K150" s="64" t="s">
        <v>2139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x14ac:dyDescent="0.2">
      <c r="A151" s="571" t="s">
        <v>2140</v>
      </c>
      <c r="B151" s="571">
        <f>('Main Dimensions Calcs'!D50-'Main Dimensions Calcs'!D51)/1000</f>
        <v>2.85</v>
      </c>
      <c r="C151" s="571" t="s">
        <v>2141</v>
      </c>
      <c r="D151" s="571"/>
      <c r="E151" s="571"/>
      <c r="F151" s="571"/>
      <c r="G151" s="571"/>
      <c r="H151" s="571"/>
      <c r="I151" s="571" t="s">
        <v>2140</v>
      </c>
      <c r="J151" s="635">
        <f>B151*1000/25.4</f>
        <v>112.20472440944883</v>
      </c>
      <c r="K151" s="571" t="s">
        <v>2142</v>
      </c>
      <c r="L151" s="571"/>
      <c r="M151" s="571"/>
      <c r="N151" s="571"/>
      <c r="O151" s="571"/>
      <c r="P151" s="571"/>
      <c r="Q151" s="5"/>
      <c r="R151" s="5"/>
      <c r="S151" s="5"/>
      <c r="T151" s="5"/>
      <c r="U151" s="5"/>
      <c r="V151" s="5"/>
      <c r="W151" s="5"/>
      <c r="X151" s="5"/>
      <c r="Y151" s="5"/>
    </row>
    <row r="152" spans="1:25" x14ac:dyDescent="0.2">
      <c r="A152" s="571"/>
      <c r="B152" s="693">
        <f>B151/B150</f>
        <v>1.0229925655361343</v>
      </c>
      <c r="C152" s="694" t="str">
        <f>IF(B152&gt;1,"OK","ERROR")</f>
        <v>OK</v>
      </c>
      <c r="D152" s="571" t="s">
        <v>2143</v>
      </c>
      <c r="E152" s="571"/>
      <c r="F152" s="571"/>
      <c r="G152" s="571"/>
      <c r="H152" s="571"/>
      <c r="I152" s="571"/>
      <c r="J152" s="701">
        <f>J151/J150</f>
        <v>1.022992565536134</v>
      </c>
      <c r="K152" s="694" t="str">
        <f>IF(J152&gt;1,"OK","ERROR")</f>
        <v>OK</v>
      </c>
      <c r="L152" s="571" t="s">
        <v>2143</v>
      </c>
      <c r="M152" s="571"/>
      <c r="N152" s="571"/>
      <c r="O152" s="571"/>
      <c r="P152" s="571"/>
      <c r="Q152" s="5"/>
      <c r="R152" s="5"/>
      <c r="S152" s="5"/>
      <c r="T152" s="5"/>
      <c r="U152" s="5" t="s">
        <v>196</v>
      </c>
      <c r="V152" s="5">
        <f>V153-V154-V155/2</f>
        <v>290</v>
      </c>
      <c r="W152" s="5"/>
      <c r="X152" s="5"/>
      <c r="Y152" s="5"/>
    </row>
    <row r="153" spans="1:25" x14ac:dyDescent="0.2">
      <c r="A153" s="571"/>
      <c r="B153" s="571"/>
      <c r="C153" s="571"/>
      <c r="D153" s="571"/>
      <c r="E153" s="571"/>
      <c r="F153" s="571"/>
      <c r="G153" s="571"/>
      <c r="H153" s="571"/>
      <c r="I153" s="571"/>
      <c r="J153" s="571"/>
      <c r="K153" s="571"/>
      <c r="L153" s="571"/>
      <c r="M153" s="571"/>
      <c r="N153" s="571"/>
      <c r="O153" s="571"/>
      <c r="P153" s="571"/>
      <c r="Q153" s="5"/>
      <c r="R153" s="5"/>
      <c r="S153" s="5"/>
      <c r="T153" s="5"/>
      <c r="U153" s="5" t="s">
        <v>1427</v>
      </c>
      <c r="V153" s="5">
        <f>'Main Dimensions Calcs'!E86*1000</f>
        <v>900</v>
      </c>
      <c r="W153" s="5"/>
      <c r="X153" s="5"/>
      <c r="Y153" s="5"/>
    </row>
    <row r="154" spans="1:25" x14ac:dyDescent="0.2">
      <c r="A154" s="571"/>
      <c r="B154" s="571"/>
      <c r="C154" s="571"/>
      <c r="D154" s="571"/>
      <c r="E154" s="571"/>
      <c r="F154" s="571"/>
      <c r="G154" s="571"/>
      <c r="H154" s="571"/>
      <c r="I154" s="571"/>
      <c r="J154" s="571"/>
      <c r="K154" s="571"/>
      <c r="L154" s="571"/>
      <c r="M154" s="571"/>
      <c r="N154" s="571"/>
      <c r="O154" s="571"/>
      <c r="P154" s="571"/>
      <c r="Q154" s="5"/>
      <c r="R154" s="5"/>
      <c r="S154" s="5"/>
      <c r="T154" s="5"/>
      <c r="U154" s="5" t="s">
        <v>2144</v>
      </c>
      <c r="V154" s="5">
        <f>'Main Dimensions Calcs'!E87</f>
        <v>320</v>
      </c>
      <c r="W154" s="5"/>
      <c r="X154" s="5"/>
      <c r="Y154" s="5"/>
    </row>
    <row r="155" spans="1:25" x14ac:dyDescent="0.2">
      <c r="A155" s="571"/>
      <c r="B155" s="571"/>
      <c r="C155" s="571"/>
      <c r="D155" s="571"/>
      <c r="E155" s="571"/>
      <c r="F155" s="571"/>
      <c r="G155" s="571"/>
      <c r="H155" s="571"/>
      <c r="I155" s="571"/>
      <c r="J155" s="571"/>
      <c r="K155" s="571"/>
      <c r="L155" s="571"/>
      <c r="M155" s="571"/>
      <c r="N155" s="571"/>
      <c r="O155" s="571"/>
      <c r="P155" s="571"/>
      <c r="Q155" s="5"/>
      <c r="R155" s="5"/>
      <c r="S155" s="5"/>
      <c r="T155" s="5"/>
      <c r="U155" s="5" t="s">
        <v>2145</v>
      </c>
      <c r="V155" s="5">
        <f>V153-V154</f>
        <v>580</v>
      </c>
      <c r="W155" s="5"/>
      <c r="X155" s="5"/>
      <c r="Y155" s="5"/>
    </row>
    <row r="156" spans="1:25" x14ac:dyDescent="0.2">
      <c r="A156" s="571"/>
      <c r="B156" s="571"/>
      <c r="C156" s="571"/>
      <c r="D156" s="571"/>
      <c r="E156" s="571"/>
      <c r="F156" s="571"/>
      <c r="G156" s="571"/>
      <c r="H156" s="571"/>
      <c r="I156" s="571"/>
      <c r="J156" s="571"/>
      <c r="K156" s="571"/>
      <c r="L156" s="571"/>
      <c r="M156" s="571"/>
      <c r="N156" s="571"/>
      <c r="O156" s="571"/>
      <c r="P156" s="571"/>
      <c r="Q156" s="5"/>
      <c r="R156" s="5"/>
      <c r="S156" s="5"/>
      <c r="T156" s="5"/>
      <c r="U156" s="5" t="s">
        <v>2146</v>
      </c>
      <c r="V156" s="5">
        <f>'Loads on slab'!B24*'Loads on slab'!B25/'Loads on slab'!B11*9.8/1000000</f>
        <v>3.4445039999999996E-2</v>
      </c>
      <c r="W156" s="5"/>
      <c r="X156" s="5"/>
      <c r="Y156" s="5"/>
    </row>
    <row r="157" spans="1:25" ht="13.5" customHeight="1" thickBot="1" x14ac:dyDescent="0.25">
      <c r="A157" s="571"/>
      <c r="B157" s="571"/>
      <c r="C157" s="571"/>
      <c r="D157" s="571"/>
      <c r="E157" s="571"/>
      <c r="F157" s="571"/>
      <c r="G157" s="571"/>
      <c r="H157" s="571"/>
      <c r="I157" s="571"/>
      <c r="J157" s="571"/>
      <c r="K157" s="571"/>
      <c r="L157" s="571"/>
      <c r="M157" s="571"/>
      <c r="N157" s="571"/>
      <c r="O157" s="571"/>
      <c r="P157" s="571"/>
      <c r="Q157" s="5"/>
      <c r="R157" s="5"/>
      <c r="S157" s="5"/>
      <c r="T157" s="5"/>
      <c r="U157" s="5" t="s">
        <v>2101</v>
      </c>
      <c r="V157" s="265">
        <f>B106*B30</f>
        <v>76.649080382665744</v>
      </c>
      <c r="W157" s="5"/>
      <c r="X157" s="5"/>
      <c r="Y157" s="5"/>
    </row>
    <row r="158" spans="1:25" ht="17.25" customHeight="1" thickTop="1" thickBot="1" x14ac:dyDescent="0.3">
      <c r="A158" s="28"/>
      <c r="B158" s="4"/>
      <c r="C158" s="408"/>
      <c r="D158" s="934" t="str">
        <f>'Front Page'!$A$13</f>
        <v>Mechanical  Calculations</v>
      </c>
      <c r="E158" s="842"/>
      <c r="F158" s="842"/>
      <c r="G158" s="842"/>
      <c r="H158" s="859"/>
      <c r="I158" s="28"/>
      <c r="J158" s="4"/>
      <c r="K158" s="408"/>
      <c r="L158" s="934" t="str">
        <f>'Front Page'!$A$13</f>
        <v>Mechanical  Calculations</v>
      </c>
      <c r="M158" s="842"/>
      <c r="N158" s="842"/>
      <c r="O158" s="842"/>
      <c r="P158" s="859"/>
      <c r="Q158" s="5"/>
      <c r="R158" s="5"/>
      <c r="S158" s="5"/>
      <c r="T158" s="5"/>
      <c r="U158" s="5" t="s">
        <v>1119</v>
      </c>
      <c r="V158" s="5">
        <f>V155*V156</f>
        <v>19.978123199999999</v>
      </c>
      <c r="W158" s="5" t="s">
        <v>2147</v>
      </c>
      <c r="X158" s="5"/>
      <c r="Y158" s="5"/>
    </row>
    <row r="159" spans="1:25" ht="16.5" customHeight="1" thickBot="1" x14ac:dyDescent="0.3">
      <c r="A159" s="6"/>
      <c r="B159" s="5"/>
      <c r="C159" s="14"/>
      <c r="D159" s="984"/>
      <c r="E159" s="831"/>
      <c r="F159" s="831"/>
      <c r="G159" s="831"/>
      <c r="H159" s="854"/>
      <c r="I159" s="6"/>
      <c r="J159" s="5"/>
      <c r="K159" s="14"/>
      <c r="L159" s="984"/>
      <c r="M159" s="831"/>
      <c r="N159" s="831"/>
      <c r="O159" s="831"/>
      <c r="P159" s="854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6.5" customHeight="1" thickBot="1" x14ac:dyDescent="0.3">
      <c r="A160" s="8"/>
      <c r="B160" s="9"/>
      <c r="C160" s="409"/>
      <c r="D160" s="985" t="s">
        <v>1954</v>
      </c>
      <c r="E160" s="834"/>
      <c r="F160" s="834"/>
      <c r="G160" s="834"/>
      <c r="H160" s="986"/>
      <c r="I160" s="8"/>
      <c r="J160" s="9"/>
      <c r="K160" s="409"/>
      <c r="L160" s="985" t="s">
        <v>1954</v>
      </c>
      <c r="M160" s="834"/>
      <c r="N160" s="834"/>
      <c r="O160" s="834"/>
      <c r="P160" s="986"/>
      <c r="Q160" s="5"/>
      <c r="R160" s="5"/>
      <c r="S160" s="5"/>
      <c r="T160" s="5"/>
      <c r="U160" s="5" t="s">
        <v>2148</v>
      </c>
      <c r="V160" s="265">
        <f>V158+V157</f>
        <v>96.627203582665743</v>
      </c>
      <c r="W160" s="5" t="s">
        <v>2149</v>
      </c>
      <c r="X160" s="5"/>
      <c r="Y160" s="5"/>
    </row>
    <row r="161" spans="1:25" ht="16.5" customHeight="1" thickTop="1" thickBot="1" x14ac:dyDescent="0.3">
      <c r="A161" s="873"/>
      <c r="B161" s="848"/>
      <c r="C161" s="865"/>
      <c r="D161" s="385" t="str">
        <f>'Front Page'!$D$4</f>
        <v>Doc Nº</v>
      </c>
      <c r="E161" s="980"/>
      <c r="F161" s="843"/>
      <c r="G161" s="980"/>
      <c r="H161" s="843"/>
      <c r="I161" s="873"/>
      <c r="J161" s="848"/>
      <c r="K161" s="865"/>
      <c r="L161" s="385" t="str">
        <f>'Front Page'!$D$4</f>
        <v>Doc Nº</v>
      </c>
      <c r="M161" s="980"/>
      <c r="N161" s="843"/>
      <c r="O161" s="980"/>
      <c r="P161" s="843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75" customHeight="1" thickBot="1" x14ac:dyDescent="0.3">
      <c r="A162" s="860"/>
      <c r="B162" s="851"/>
      <c r="C162" s="861"/>
      <c r="D162" s="386" t="str">
        <f>'Front Page'!$D$5</f>
        <v>Project</v>
      </c>
      <c r="E162" s="899"/>
      <c r="F162" s="835"/>
      <c r="G162" s="131" t="s">
        <v>5</v>
      </c>
      <c r="H162" s="132"/>
      <c r="I162" s="860"/>
      <c r="J162" s="851"/>
      <c r="K162" s="861"/>
      <c r="L162" s="386" t="str">
        <f>'Front Page'!$D$5</f>
        <v>Project</v>
      </c>
      <c r="M162" s="899"/>
      <c r="N162" s="835"/>
      <c r="O162" s="131" t="s">
        <v>5</v>
      </c>
      <c r="P162" s="427"/>
      <c r="Q162" s="5"/>
      <c r="R162" s="5"/>
      <c r="S162" s="5"/>
      <c r="T162" s="5"/>
      <c r="U162" s="5" t="s">
        <v>158</v>
      </c>
      <c r="V162" s="5">
        <f>V157*V152/(V158+V157)</f>
        <v>230.04115287219858</v>
      </c>
      <c r="W162" s="5"/>
      <c r="X162" s="5"/>
      <c r="Y162" s="5"/>
    </row>
    <row r="163" spans="1:25" ht="13.5" customHeight="1" thickTop="1" x14ac:dyDescent="0.2">
      <c r="A163" s="571"/>
      <c r="B163" s="571"/>
      <c r="C163" s="571"/>
      <c r="D163" s="571"/>
      <c r="E163" s="571"/>
      <c r="F163" s="571"/>
      <c r="G163" s="571"/>
      <c r="H163" s="571"/>
      <c r="I163" s="571"/>
      <c r="J163" s="571"/>
      <c r="K163" s="571"/>
      <c r="L163" s="571"/>
      <c r="M163" s="571"/>
      <c r="N163" s="571"/>
      <c r="O163" s="571"/>
      <c r="P163" s="571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0.25" customHeight="1" x14ac:dyDescent="0.3">
      <c r="A164" s="702" t="s">
        <v>2150</v>
      </c>
      <c r="B164" s="571"/>
      <c r="C164" s="571"/>
      <c r="D164" s="571"/>
      <c r="E164" s="571"/>
      <c r="F164" s="571"/>
      <c r="G164" s="571"/>
      <c r="H164" s="571"/>
      <c r="I164" s="702" t="s">
        <v>2151</v>
      </c>
      <c r="J164" s="571"/>
      <c r="K164" s="571"/>
      <c r="L164" s="571"/>
      <c r="M164" s="571"/>
      <c r="N164" s="571"/>
      <c r="O164" s="571"/>
      <c r="P164" s="571"/>
      <c r="Q164" s="5"/>
      <c r="R164" s="5"/>
      <c r="S164" s="5"/>
      <c r="T164" s="5"/>
      <c r="U164" s="5" t="s">
        <v>526</v>
      </c>
      <c r="V164" s="5">
        <f>V155/2+V162-V153/2</f>
        <v>70.041152872198609</v>
      </c>
      <c r="W164" s="5"/>
      <c r="X164" s="5"/>
      <c r="Y164" s="5"/>
    </row>
    <row r="165" spans="1:25" x14ac:dyDescent="0.2">
      <c r="A165" s="571"/>
      <c r="B165" s="571"/>
      <c r="C165" s="571"/>
      <c r="D165" s="571"/>
      <c r="E165" s="571"/>
      <c r="F165" s="571"/>
      <c r="G165" s="571"/>
      <c r="H165" s="571"/>
      <c r="I165" s="571"/>
      <c r="J165" s="571"/>
      <c r="K165" s="571"/>
      <c r="L165" s="571"/>
      <c r="M165" s="571"/>
      <c r="N165" s="571"/>
      <c r="O165" s="571"/>
      <c r="P165" s="571"/>
      <c r="Q165" s="5"/>
      <c r="R165" s="5"/>
      <c r="S165" s="5"/>
      <c r="T165" s="5"/>
      <c r="U165" s="5" t="s">
        <v>2152</v>
      </c>
      <c r="V165" s="5">
        <f>V153/6</f>
        <v>150</v>
      </c>
      <c r="W165" s="5"/>
      <c r="X165" s="5"/>
      <c r="Y165" s="5"/>
    </row>
    <row r="166" spans="1:25" x14ac:dyDescent="0.2">
      <c r="A166" s="1018" t="s">
        <v>2153</v>
      </c>
      <c r="B166" s="809"/>
      <c r="C166" s="809"/>
      <c r="D166" s="809"/>
      <c r="E166" s="809"/>
      <c r="F166" s="809"/>
      <c r="G166" s="809"/>
      <c r="H166" s="571"/>
      <c r="I166" s="1018" t="s">
        <v>2154</v>
      </c>
      <c r="J166" s="809"/>
      <c r="K166" s="809"/>
      <c r="L166" s="809"/>
      <c r="M166" s="809"/>
      <c r="N166" s="809"/>
      <c r="O166" s="809"/>
      <c r="P166" s="571"/>
      <c r="Q166" s="5"/>
      <c r="R166" s="5"/>
      <c r="S166" s="5"/>
      <c r="T166" s="5"/>
      <c r="U166" s="5"/>
      <c r="V166" s="5"/>
      <c r="W166" s="5"/>
      <c r="X166" s="5"/>
      <c r="Y166" s="5"/>
    </row>
    <row r="167" spans="1:25" x14ac:dyDescent="0.2">
      <c r="A167" s="809"/>
      <c r="B167" s="809"/>
      <c r="C167" s="809"/>
      <c r="D167" s="809"/>
      <c r="E167" s="809"/>
      <c r="F167" s="809"/>
      <c r="G167" s="809"/>
      <c r="H167" s="571"/>
      <c r="I167" s="809"/>
      <c r="J167" s="809"/>
      <c r="K167" s="809"/>
      <c r="L167" s="809"/>
      <c r="M167" s="809"/>
      <c r="N167" s="809"/>
      <c r="O167" s="809"/>
      <c r="P167" s="571"/>
      <c r="Q167" s="5"/>
      <c r="R167" s="5"/>
      <c r="S167" s="5"/>
      <c r="T167" s="5"/>
      <c r="U167" s="5" t="s">
        <v>2155</v>
      </c>
      <c r="V167" s="5">
        <f>V160/V153*(1+ABS(6*V164/V153))</f>
        <v>0.15749600944552897</v>
      </c>
      <c r="W167" s="5" t="s">
        <v>925</v>
      </c>
      <c r="X167" s="5"/>
      <c r="Y167" s="5"/>
    </row>
    <row r="168" spans="1:25" x14ac:dyDescent="0.2">
      <c r="A168" s="571"/>
      <c r="B168" s="571"/>
      <c r="C168" s="571"/>
      <c r="D168" s="571"/>
      <c r="E168" s="571"/>
      <c r="F168" s="571"/>
      <c r="G168" s="571"/>
      <c r="H168" s="571"/>
      <c r="I168" s="571"/>
      <c r="J168" s="571"/>
      <c r="K168" s="571"/>
      <c r="L168" s="571"/>
      <c r="M168" s="571"/>
      <c r="N168" s="571"/>
      <c r="O168" s="571"/>
      <c r="P168" s="571"/>
      <c r="Q168" s="5"/>
      <c r="R168" s="5"/>
      <c r="S168" s="5"/>
      <c r="T168" s="5"/>
      <c r="U168" s="5"/>
      <c r="V168" s="5">
        <f>V167*2/0.75</f>
        <v>0.41998935852141056</v>
      </c>
      <c r="W168" s="5"/>
      <c r="X168" s="5"/>
      <c r="Y168" s="5"/>
    </row>
    <row r="169" spans="1:25" x14ac:dyDescent="0.2">
      <c r="A169" s="571"/>
      <c r="B169" s="571"/>
      <c r="C169" s="571"/>
      <c r="D169" s="571"/>
      <c r="E169" s="571"/>
      <c r="F169" s="571"/>
      <c r="G169" s="571"/>
      <c r="H169" s="571"/>
      <c r="I169" s="571"/>
      <c r="J169" s="571"/>
      <c r="K169" s="571"/>
      <c r="L169" s="571"/>
      <c r="M169" s="571"/>
      <c r="N169" s="571"/>
      <c r="O169" s="571"/>
      <c r="P169" s="571"/>
      <c r="Q169" s="5"/>
      <c r="R169" s="5"/>
      <c r="S169" s="5"/>
      <c r="T169" s="5"/>
      <c r="U169" s="5"/>
      <c r="V169" s="5"/>
      <c r="W169" s="5"/>
      <c r="X169" s="5"/>
      <c r="Y169" s="5"/>
    </row>
    <row r="170" spans="1:25" x14ac:dyDescent="0.2">
      <c r="A170" s="571" t="s">
        <v>196</v>
      </c>
      <c r="B170" s="587">
        <f>B171-B172-B173/2</f>
        <v>290</v>
      </c>
      <c r="C170" s="571" t="s">
        <v>2156</v>
      </c>
      <c r="D170" s="571"/>
      <c r="E170" s="571"/>
      <c r="F170" s="571"/>
      <c r="G170" s="571"/>
      <c r="H170" s="571"/>
      <c r="I170" s="571" t="s">
        <v>196</v>
      </c>
      <c r="J170" s="587">
        <f>B170/25.4</f>
        <v>11.41732283464567</v>
      </c>
      <c r="K170" s="571" t="s">
        <v>2157</v>
      </c>
      <c r="L170" s="571"/>
      <c r="M170" s="571"/>
      <c r="N170" s="571"/>
      <c r="O170" s="571"/>
      <c r="P170" s="571"/>
      <c r="Q170" s="5"/>
      <c r="R170" s="5"/>
      <c r="S170" s="5"/>
      <c r="T170" s="5"/>
      <c r="U170" s="5"/>
      <c r="V170" s="5"/>
      <c r="W170" s="5"/>
      <c r="X170" s="5"/>
      <c r="Y170" s="5"/>
    </row>
    <row r="171" spans="1:25" x14ac:dyDescent="0.2">
      <c r="A171" s="571" t="s">
        <v>1427</v>
      </c>
      <c r="B171" s="587">
        <f>'Main Dimensions Calcs'!E86*1000</f>
        <v>900</v>
      </c>
      <c r="C171" s="571" t="s">
        <v>2158</v>
      </c>
      <c r="D171" s="571"/>
      <c r="E171" s="571"/>
      <c r="F171" s="571"/>
      <c r="G171" s="571"/>
      <c r="H171" s="571"/>
      <c r="I171" s="571" t="s">
        <v>1427</v>
      </c>
      <c r="J171" s="587">
        <f>B171/25.4</f>
        <v>35.433070866141733</v>
      </c>
      <c r="K171" s="571" t="s">
        <v>2159</v>
      </c>
      <c r="L171" s="571"/>
      <c r="M171" s="571"/>
      <c r="N171" s="571"/>
      <c r="O171" s="571"/>
      <c r="P171" s="571"/>
      <c r="Q171" s="5"/>
      <c r="R171" s="5"/>
      <c r="S171" s="5"/>
      <c r="T171" s="5"/>
      <c r="U171" s="5"/>
      <c r="V171" s="5"/>
      <c r="W171" s="5"/>
      <c r="X171" s="5"/>
      <c r="Y171" s="5"/>
    </row>
    <row r="172" spans="1:25" x14ac:dyDescent="0.2">
      <c r="A172" s="571" t="s">
        <v>2144</v>
      </c>
      <c r="B172" s="587">
        <f>'Main Dimensions Calcs'!E87</f>
        <v>320</v>
      </c>
      <c r="C172" s="571" t="s">
        <v>2156</v>
      </c>
      <c r="D172" s="571"/>
      <c r="E172" s="571"/>
      <c r="F172" s="571"/>
      <c r="G172" s="571"/>
      <c r="H172" s="571"/>
      <c r="I172" s="571" t="s">
        <v>2144</v>
      </c>
      <c r="J172" s="587">
        <f>B172/25.4</f>
        <v>12.598425196850394</v>
      </c>
      <c r="K172" s="571" t="s">
        <v>2160</v>
      </c>
      <c r="L172" s="571"/>
      <c r="M172" s="571"/>
      <c r="N172" s="571"/>
      <c r="O172" s="571"/>
      <c r="P172" s="571"/>
      <c r="Q172" s="5"/>
      <c r="R172" s="5"/>
      <c r="S172" s="5"/>
      <c r="T172" s="5"/>
      <c r="U172" s="5"/>
      <c r="V172" s="5"/>
      <c r="W172" s="5"/>
      <c r="X172" s="5"/>
      <c r="Y172" s="5"/>
    </row>
    <row r="173" spans="1:25" x14ac:dyDescent="0.2">
      <c r="A173" s="571" t="s">
        <v>2145</v>
      </c>
      <c r="B173" s="587">
        <f>B171-B172</f>
        <v>580</v>
      </c>
      <c r="C173" s="571" t="s">
        <v>2161</v>
      </c>
      <c r="D173" s="571"/>
      <c r="E173" s="571"/>
      <c r="F173" s="571"/>
      <c r="G173" s="571"/>
      <c r="H173" s="571"/>
      <c r="I173" s="571" t="s">
        <v>2145</v>
      </c>
      <c r="J173" s="587">
        <f>B173/25.4</f>
        <v>22.834645669291341</v>
      </c>
      <c r="K173" s="571" t="s">
        <v>2160</v>
      </c>
      <c r="L173" s="571"/>
      <c r="M173" s="571"/>
      <c r="N173" s="571"/>
      <c r="O173" s="571"/>
      <c r="P173" s="571"/>
      <c r="Q173" s="5"/>
      <c r="R173" s="5"/>
      <c r="S173" s="5"/>
      <c r="T173" s="5"/>
      <c r="U173" s="5"/>
      <c r="V173" s="5"/>
      <c r="W173" s="5"/>
      <c r="X173" s="5"/>
      <c r="Y173" s="5"/>
    </row>
    <row r="174" spans="1:25" x14ac:dyDescent="0.2">
      <c r="A174" s="571" t="s">
        <v>2146</v>
      </c>
      <c r="B174" s="703">
        <f>('Loads on slab'!B25*'Loads on slab'!B24/'Loads on slab'!B11*9.8/1000000000+'Loads on slab'!B9*0.0001)</f>
        <v>4.9445039999999994E-5</v>
      </c>
      <c r="C174" s="571" t="s">
        <v>2162</v>
      </c>
      <c r="D174" s="571"/>
      <c r="E174" s="571"/>
      <c r="F174" s="571"/>
      <c r="G174" s="571"/>
      <c r="H174" s="571"/>
      <c r="I174" s="571" t="s">
        <v>2146</v>
      </c>
      <c r="J174" s="704">
        <f>B174*1000*145.04</f>
        <v>7.1715086015999994</v>
      </c>
      <c r="K174" s="571" t="s">
        <v>2163</v>
      </c>
      <c r="L174" s="571"/>
      <c r="M174" s="571"/>
      <c r="N174" s="571"/>
      <c r="O174" s="571"/>
      <c r="P174" s="571"/>
      <c r="Q174" s="5"/>
      <c r="R174" s="5"/>
      <c r="S174" s="5"/>
      <c r="T174" s="5"/>
      <c r="U174" s="5"/>
      <c r="V174" s="5"/>
      <c r="W174" s="5"/>
      <c r="X174" s="5"/>
      <c r="Y174" s="5"/>
    </row>
    <row r="175" spans="1:25" x14ac:dyDescent="0.2">
      <c r="A175" s="571" t="s">
        <v>2101</v>
      </c>
      <c r="B175" s="587">
        <f>B106*B30</f>
        <v>76.649080382665744</v>
      </c>
      <c r="C175" s="571" t="s">
        <v>2164</v>
      </c>
      <c r="D175" s="571"/>
      <c r="E175" s="571"/>
      <c r="F175" s="571"/>
      <c r="G175" s="571"/>
      <c r="H175" s="571"/>
      <c r="I175" s="571" t="s">
        <v>2101</v>
      </c>
      <c r="J175" s="704">
        <f>B175*1000*0.00571</f>
        <v>437.66624898502141</v>
      </c>
      <c r="K175" s="571" t="s">
        <v>2165</v>
      </c>
      <c r="L175" s="571"/>
      <c r="M175" s="571"/>
      <c r="N175" s="571"/>
      <c r="O175" s="571"/>
      <c r="P175" s="571"/>
      <c r="Q175" s="5"/>
      <c r="R175" s="5"/>
      <c r="S175" s="5"/>
      <c r="T175" s="5"/>
      <c r="U175" s="5"/>
      <c r="V175" s="5"/>
      <c r="W175" s="5"/>
      <c r="X175" s="5"/>
      <c r="Y175" s="5"/>
    </row>
    <row r="176" spans="1:25" x14ac:dyDescent="0.2">
      <c r="A176" s="571" t="s">
        <v>1119</v>
      </c>
      <c r="B176" s="587">
        <f>B173*B174*1000</f>
        <v>28.678123199999995</v>
      </c>
      <c r="C176" s="571" t="s">
        <v>2166</v>
      </c>
      <c r="D176" s="571"/>
      <c r="E176" s="571"/>
      <c r="F176" s="571"/>
      <c r="G176" s="571"/>
      <c r="H176" s="571"/>
      <c r="I176" s="571" t="s">
        <v>1119</v>
      </c>
      <c r="J176" s="704">
        <f>B176*1000*0.00571</f>
        <v>163.75208347199995</v>
      </c>
      <c r="K176" s="571" t="s">
        <v>2167</v>
      </c>
      <c r="L176" s="571"/>
      <c r="M176" s="571"/>
      <c r="N176" s="571"/>
      <c r="O176" s="571"/>
      <c r="P176" s="571"/>
      <c r="Q176" s="5"/>
      <c r="R176" s="5"/>
      <c r="S176" s="5"/>
      <c r="T176" s="5"/>
      <c r="U176" s="5"/>
      <c r="V176" s="5"/>
      <c r="W176" s="5"/>
      <c r="X176" s="5"/>
      <c r="Y176" s="5"/>
    </row>
    <row r="177" spans="1:25" x14ac:dyDescent="0.2">
      <c r="A177" s="571"/>
      <c r="B177" s="587"/>
      <c r="C177" s="571"/>
      <c r="D177" s="571"/>
      <c r="E177" s="571"/>
      <c r="F177" s="571"/>
      <c r="G177" s="571"/>
      <c r="H177" s="571"/>
      <c r="I177" s="571"/>
      <c r="J177" s="587"/>
      <c r="K177" s="571"/>
      <c r="L177" s="571"/>
      <c r="M177" s="571"/>
      <c r="N177" s="571"/>
      <c r="O177" s="571"/>
      <c r="P177" s="571"/>
      <c r="Q177" s="5"/>
      <c r="R177" s="5"/>
      <c r="S177" s="5"/>
      <c r="T177" s="5"/>
      <c r="U177" s="5"/>
      <c r="V177" s="5"/>
      <c r="W177" s="5"/>
      <c r="X177" s="5"/>
      <c r="Y177" s="5"/>
    </row>
    <row r="178" spans="1:25" x14ac:dyDescent="0.2">
      <c r="A178" s="571"/>
      <c r="B178" s="571"/>
      <c r="C178" s="571"/>
      <c r="D178" s="571"/>
      <c r="E178" s="571"/>
      <c r="F178" s="571"/>
      <c r="G178" s="571"/>
      <c r="H178" s="571"/>
      <c r="I178" s="571"/>
      <c r="J178" s="571"/>
      <c r="K178" s="571"/>
      <c r="L178" s="571"/>
      <c r="M178" s="571"/>
      <c r="N178" s="571"/>
      <c r="O178" s="571"/>
      <c r="P178" s="571"/>
      <c r="Q178" s="5"/>
      <c r="R178" s="5"/>
      <c r="S178" s="5"/>
      <c r="T178" s="5"/>
      <c r="U178" s="5"/>
      <c r="V178" s="5"/>
      <c r="W178" s="5"/>
      <c r="X178" s="5"/>
      <c r="Y178" s="5"/>
    </row>
    <row r="179" spans="1:25" x14ac:dyDescent="0.2">
      <c r="A179" s="571"/>
      <c r="B179" s="571"/>
      <c r="C179" s="571"/>
      <c r="D179" s="571"/>
      <c r="E179" s="571"/>
      <c r="F179" s="571"/>
      <c r="G179" s="571"/>
      <c r="H179" s="571"/>
      <c r="I179" s="571"/>
      <c r="J179" s="571"/>
      <c r="K179" s="571"/>
      <c r="L179" s="571"/>
      <c r="M179" s="571"/>
      <c r="N179" s="571"/>
      <c r="O179" s="571"/>
      <c r="P179" s="571"/>
      <c r="Q179" s="5"/>
      <c r="R179" s="5"/>
      <c r="S179" s="5"/>
      <c r="T179" s="5"/>
      <c r="U179" s="5"/>
      <c r="V179" s="5"/>
      <c r="W179" s="5"/>
      <c r="X179" s="5"/>
      <c r="Y179" s="5"/>
    </row>
    <row r="180" spans="1:25" x14ac:dyDescent="0.2">
      <c r="A180" s="571"/>
      <c r="B180" s="571"/>
      <c r="C180" s="571"/>
      <c r="D180" s="571"/>
      <c r="E180" s="571"/>
      <c r="F180" s="571"/>
      <c r="G180" s="571"/>
      <c r="H180" s="571"/>
      <c r="I180" s="571"/>
      <c r="J180" s="571"/>
      <c r="K180" s="571"/>
      <c r="L180" s="571"/>
      <c r="M180" s="571"/>
      <c r="N180" s="571"/>
      <c r="O180" s="571"/>
      <c r="P180" s="571"/>
      <c r="Q180" s="5"/>
      <c r="R180" s="5"/>
      <c r="S180" s="5"/>
      <c r="T180" s="5"/>
      <c r="U180" s="5"/>
      <c r="V180" s="5"/>
      <c r="W180" s="5"/>
      <c r="X180" s="5"/>
      <c r="Y180" s="5"/>
    </row>
    <row r="181" spans="1:25" x14ac:dyDescent="0.2">
      <c r="A181" s="571"/>
      <c r="B181" s="571"/>
      <c r="C181" s="571"/>
      <c r="D181" s="571"/>
      <c r="E181" s="571"/>
      <c r="F181" s="571"/>
      <c r="G181" s="571"/>
      <c r="H181" s="571"/>
      <c r="I181" s="571"/>
      <c r="J181" s="571"/>
      <c r="K181" s="571"/>
      <c r="L181" s="571"/>
      <c r="M181" s="571"/>
      <c r="N181" s="571"/>
      <c r="O181" s="571"/>
      <c r="P181" s="571"/>
      <c r="Q181" s="5"/>
      <c r="R181" s="5"/>
      <c r="S181" s="5"/>
      <c r="T181" s="5"/>
      <c r="U181" s="5"/>
      <c r="V181" s="5"/>
      <c r="W181" s="5"/>
      <c r="X181" s="5"/>
      <c r="Y181" s="5"/>
    </row>
    <row r="182" spans="1:25" x14ac:dyDescent="0.2">
      <c r="A182" s="571"/>
      <c r="B182" s="571"/>
      <c r="C182" s="571"/>
      <c r="D182" s="571"/>
      <c r="E182" s="571"/>
      <c r="F182" s="571"/>
      <c r="G182" s="571"/>
      <c r="H182" s="571"/>
      <c r="I182" s="571"/>
      <c r="J182" s="571"/>
      <c r="K182" s="571"/>
      <c r="L182" s="571"/>
      <c r="M182" s="571"/>
      <c r="N182" s="571"/>
      <c r="O182" s="571"/>
      <c r="P182" s="571"/>
      <c r="Q182" s="5"/>
      <c r="R182" s="5"/>
      <c r="S182" s="5"/>
      <c r="T182" s="5"/>
      <c r="U182" s="5"/>
      <c r="V182" s="5"/>
      <c r="W182" s="5"/>
      <c r="X182" s="5"/>
      <c r="Y182" s="5"/>
    </row>
    <row r="183" spans="1:25" x14ac:dyDescent="0.2">
      <c r="A183" s="571"/>
      <c r="B183" s="571"/>
      <c r="C183" s="571"/>
      <c r="D183" s="571"/>
      <c r="E183" s="571"/>
      <c r="F183" s="571"/>
      <c r="G183" s="571"/>
      <c r="H183" s="571"/>
      <c r="I183" s="571"/>
      <c r="J183" s="571"/>
      <c r="K183" s="571"/>
      <c r="L183" s="571"/>
      <c r="M183" s="571"/>
      <c r="N183" s="571"/>
      <c r="O183" s="571"/>
      <c r="P183" s="571"/>
      <c r="Q183" s="5"/>
      <c r="R183" s="5"/>
      <c r="S183" s="5"/>
      <c r="T183" s="5"/>
      <c r="U183" s="5"/>
      <c r="V183" s="5"/>
      <c r="W183" s="5"/>
      <c r="X183" s="5"/>
      <c r="Y183" s="5"/>
    </row>
    <row r="184" spans="1:25" x14ac:dyDescent="0.2">
      <c r="A184" s="571"/>
      <c r="B184" s="571"/>
      <c r="C184" s="571"/>
      <c r="D184" s="571"/>
      <c r="E184" s="571"/>
      <c r="F184" s="571"/>
      <c r="G184" s="571"/>
      <c r="H184" s="571"/>
      <c r="I184" s="571"/>
      <c r="J184" s="571"/>
      <c r="K184" s="571"/>
      <c r="L184" s="571"/>
      <c r="M184" s="571"/>
      <c r="N184" s="571"/>
      <c r="O184" s="571"/>
      <c r="P184" s="571"/>
      <c r="Q184" s="5"/>
      <c r="R184" s="5"/>
      <c r="S184" s="5"/>
      <c r="T184" s="5"/>
      <c r="U184" s="5"/>
      <c r="V184" s="5"/>
      <c r="W184" s="5"/>
      <c r="X184" s="5"/>
      <c r="Y184" s="5"/>
    </row>
    <row r="185" spans="1:25" x14ac:dyDescent="0.2">
      <c r="A185" s="571"/>
      <c r="B185" s="571"/>
      <c r="C185" s="571"/>
      <c r="D185" s="571"/>
      <c r="E185" s="571"/>
      <c r="F185" s="571"/>
      <c r="G185" s="571"/>
      <c r="H185" s="571"/>
      <c r="I185" s="571"/>
      <c r="J185" s="571"/>
      <c r="K185" s="571"/>
      <c r="L185" s="571"/>
      <c r="M185" s="571"/>
      <c r="N185" s="571"/>
      <c r="O185" s="571"/>
      <c r="P185" s="571"/>
      <c r="Q185" s="5"/>
      <c r="R185" s="5"/>
      <c r="S185" s="5"/>
      <c r="T185" s="5"/>
      <c r="U185" s="5"/>
      <c r="V185" s="5"/>
      <c r="W185" s="5"/>
      <c r="X185" s="5"/>
      <c r="Y185" s="5"/>
    </row>
    <row r="186" spans="1:25" x14ac:dyDescent="0.2">
      <c r="A186" s="571"/>
      <c r="B186" s="571"/>
      <c r="C186" s="571"/>
      <c r="D186" s="571"/>
      <c r="E186" s="571"/>
      <c r="F186" s="571"/>
      <c r="G186" s="571"/>
      <c r="H186" s="571"/>
      <c r="I186" s="571"/>
      <c r="J186" s="571"/>
      <c r="K186" s="571"/>
      <c r="L186" s="571"/>
      <c r="M186" s="571"/>
      <c r="N186" s="571"/>
      <c r="O186" s="571"/>
      <c r="P186" s="571"/>
      <c r="Q186" s="5"/>
      <c r="R186" s="5"/>
      <c r="S186" s="5"/>
      <c r="T186" s="5"/>
      <c r="U186" s="5"/>
      <c r="V186" s="5"/>
      <c r="W186" s="5"/>
      <c r="X186" s="5"/>
      <c r="Y186" s="5"/>
    </row>
    <row r="187" spans="1:25" x14ac:dyDescent="0.2">
      <c r="A187" s="571"/>
      <c r="B187" s="571"/>
      <c r="C187" s="571"/>
      <c r="D187" s="571"/>
      <c r="E187" s="571"/>
      <c r="F187" s="571"/>
      <c r="G187" s="571"/>
      <c r="H187" s="571"/>
      <c r="I187" s="571"/>
      <c r="J187" s="571"/>
      <c r="K187" s="571"/>
      <c r="L187" s="571"/>
      <c r="M187" s="571"/>
      <c r="N187" s="571"/>
      <c r="O187" s="571"/>
      <c r="P187" s="571"/>
      <c r="Q187" s="5"/>
      <c r="R187" s="5"/>
      <c r="S187" s="5"/>
      <c r="T187" s="5"/>
      <c r="U187" s="5"/>
      <c r="V187" s="5"/>
      <c r="W187" s="5"/>
      <c r="X187" s="5"/>
      <c r="Y187" s="5"/>
    </row>
    <row r="188" spans="1:25" x14ac:dyDescent="0.2">
      <c r="A188" s="571"/>
      <c r="B188" s="571"/>
      <c r="C188" s="571"/>
      <c r="D188" s="571"/>
      <c r="E188" s="571"/>
      <c r="F188" s="571"/>
      <c r="G188" s="571"/>
      <c r="H188" s="571"/>
      <c r="I188" s="571"/>
      <c r="J188" s="571"/>
      <c r="K188" s="571"/>
      <c r="L188" s="571"/>
      <c r="M188" s="571"/>
      <c r="N188" s="571"/>
      <c r="O188" s="571"/>
      <c r="P188" s="571"/>
      <c r="Q188" s="5"/>
      <c r="R188" s="5"/>
      <c r="S188" s="5"/>
      <c r="T188" s="5"/>
      <c r="U188" s="5"/>
      <c r="V188" s="5"/>
      <c r="W188" s="5"/>
      <c r="X188" s="5"/>
      <c r="Y188" s="5"/>
    </row>
    <row r="189" spans="1:25" x14ac:dyDescent="0.2">
      <c r="A189" s="571"/>
      <c r="B189" s="571"/>
      <c r="C189" s="571"/>
      <c r="D189" s="571"/>
      <c r="E189" s="571"/>
      <c r="F189" s="571"/>
      <c r="G189" s="571"/>
      <c r="H189" s="571"/>
      <c r="I189" s="571"/>
      <c r="J189" s="571"/>
      <c r="K189" s="571"/>
      <c r="L189" s="571"/>
      <c r="M189" s="571"/>
      <c r="N189" s="571"/>
      <c r="O189" s="571"/>
      <c r="P189" s="571"/>
      <c r="Q189" s="5"/>
      <c r="R189" s="5"/>
      <c r="S189" s="5"/>
      <c r="T189" s="5"/>
      <c r="U189" s="5"/>
      <c r="V189" s="5"/>
      <c r="W189" s="5"/>
      <c r="X189" s="5"/>
      <c r="Y189" s="5"/>
    </row>
    <row r="190" spans="1:25" x14ac:dyDescent="0.2">
      <c r="A190" s="571"/>
      <c r="B190" s="571"/>
      <c r="C190" s="571"/>
      <c r="D190" s="571"/>
      <c r="E190" s="571"/>
      <c r="F190" s="571"/>
      <c r="G190" s="571"/>
      <c r="H190" s="571"/>
      <c r="I190" s="571"/>
      <c r="J190" s="571"/>
      <c r="K190" s="571"/>
      <c r="L190" s="571"/>
      <c r="M190" s="571"/>
      <c r="N190" s="571"/>
      <c r="O190" s="571"/>
      <c r="P190" s="571"/>
      <c r="Q190" s="5"/>
      <c r="R190" s="5"/>
      <c r="S190" s="5"/>
      <c r="T190" s="5"/>
      <c r="U190" s="5"/>
      <c r="V190" s="5"/>
      <c r="W190" s="5"/>
      <c r="X190" s="5"/>
      <c r="Y190" s="5"/>
    </row>
    <row r="191" spans="1:25" x14ac:dyDescent="0.2">
      <c r="A191" s="571"/>
      <c r="B191" s="571"/>
      <c r="C191" s="571"/>
      <c r="D191" s="571"/>
      <c r="E191" s="571"/>
      <c r="F191" s="571"/>
      <c r="G191" s="571"/>
      <c r="H191" s="571"/>
      <c r="I191" s="571"/>
      <c r="J191" s="571"/>
      <c r="K191" s="571"/>
      <c r="L191" s="571"/>
      <c r="M191" s="571"/>
      <c r="N191" s="571"/>
      <c r="O191" s="571"/>
      <c r="P191" s="571"/>
      <c r="Q191" s="5"/>
      <c r="R191" s="5"/>
      <c r="S191" s="5"/>
      <c r="T191" s="5"/>
      <c r="U191" s="5"/>
      <c r="V191" s="5"/>
      <c r="W191" s="5"/>
      <c r="X191" s="5"/>
      <c r="Y191" s="5"/>
    </row>
    <row r="192" spans="1:25" x14ac:dyDescent="0.2">
      <c r="A192" s="571"/>
      <c r="B192" s="571"/>
      <c r="C192" s="571"/>
      <c r="D192" s="571"/>
      <c r="E192" s="571"/>
      <c r="F192" s="571"/>
      <c r="G192" s="571"/>
      <c r="H192" s="571"/>
      <c r="I192" s="571"/>
      <c r="J192" s="571"/>
      <c r="K192" s="571"/>
      <c r="L192" s="571"/>
      <c r="M192" s="571"/>
      <c r="N192" s="571"/>
      <c r="O192" s="571"/>
      <c r="P192" s="571"/>
      <c r="Q192" s="5"/>
      <c r="R192" s="5"/>
      <c r="S192" s="5"/>
      <c r="T192" s="5"/>
      <c r="U192" s="5"/>
      <c r="V192" s="5"/>
      <c r="W192" s="5"/>
      <c r="X192" s="5"/>
      <c r="Y192" s="5"/>
    </row>
    <row r="193" spans="1:25" x14ac:dyDescent="0.2">
      <c r="A193" s="571"/>
      <c r="B193" s="571"/>
      <c r="C193" s="571"/>
      <c r="D193" s="571"/>
      <c r="E193" s="571"/>
      <c r="F193" s="571"/>
      <c r="G193" s="571"/>
      <c r="H193" s="571"/>
      <c r="I193" s="571"/>
      <c r="J193" s="571"/>
      <c r="K193" s="571"/>
      <c r="L193" s="571"/>
      <c r="M193" s="571"/>
      <c r="N193" s="571"/>
      <c r="O193" s="571"/>
      <c r="P193" s="571"/>
      <c r="Q193" s="5"/>
      <c r="R193" s="5"/>
      <c r="S193" s="5"/>
      <c r="T193" s="5"/>
      <c r="U193" s="5"/>
      <c r="V193" s="5"/>
      <c r="W193" s="5"/>
      <c r="X193" s="5"/>
      <c r="Y193" s="5"/>
    </row>
    <row r="194" spans="1:25" x14ac:dyDescent="0.2">
      <c r="A194" s="571"/>
      <c r="B194" s="571"/>
      <c r="C194" s="571"/>
      <c r="D194" s="571"/>
      <c r="E194" s="571"/>
      <c r="F194" s="571"/>
      <c r="G194" s="571"/>
      <c r="H194" s="571"/>
      <c r="I194" s="571"/>
      <c r="J194" s="571"/>
      <c r="K194" s="571"/>
      <c r="L194" s="571"/>
      <c r="M194" s="571"/>
      <c r="N194" s="571"/>
      <c r="O194" s="571"/>
      <c r="P194" s="571"/>
      <c r="Q194" s="5"/>
      <c r="R194" s="5"/>
      <c r="S194" s="5"/>
      <c r="T194" s="5"/>
      <c r="U194" s="5"/>
      <c r="V194" s="5"/>
      <c r="W194" s="5"/>
      <c r="X194" s="5"/>
      <c r="Y194" s="5"/>
    </row>
    <row r="195" spans="1:25" x14ac:dyDescent="0.2">
      <c r="A195" s="571"/>
      <c r="B195" s="571"/>
      <c r="C195" s="571"/>
      <c r="D195" s="571"/>
      <c r="E195" s="571"/>
      <c r="F195" s="571"/>
      <c r="G195" s="571"/>
      <c r="H195" s="571"/>
      <c r="I195" s="571"/>
      <c r="J195" s="571"/>
      <c r="K195" s="571"/>
      <c r="L195" s="571"/>
      <c r="M195" s="571"/>
      <c r="N195" s="571"/>
      <c r="O195" s="571"/>
      <c r="P195" s="571"/>
      <c r="Q195" s="5"/>
      <c r="R195" s="5"/>
      <c r="S195" s="5"/>
      <c r="T195" s="5"/>
      <c r="U195" s="5"/>
      <c r="V195" s="5"/>
      <c r="W195" s="5"/>
      <c r="X195" s="5"/>
      <c r="Y195" s="5"/>
    </row>
    <row r="196" spans="1:25" x14ac:dyDescent="0.2">
      <c r="A196" s="571"/>
      <c r="B196" s="571"/>
      <c r="C196" s="571"/>
      <c r="D196" s="571"/>
      <c r="E196" s="571"/>
      <c r="F196" s="571"/>
      <c r="G196" s="571"/>
      <c r="H196" s="571"/>
      <c r="I196" s="571"/>
      <c r="J196" s="571"/>
      <c r="K196" s="571"/>
      <c r="L196" s="571"/>
      <c r="M196" s="571"/>
      <c r="N196" s="571"/>
      <c r="O196" s="571"/>
      <c r="P196" s="571"/>
      <c r="Q196" s="5"/>
      <c r="R196" s="5"/>
      <c r="S196" s="5"/>
      <c r="T196" s="5"/>
      <c r="U196" s="5"/>
      <c r="V196" s="5"/>
      <c r="W196" s="5"/>
      <c r="X196" s="5"/>
      <c r="Y196" s="5"/>
    </row>
    <row r="197" spans="1:25" x14ac:dyDescent="0.2">
      <c r="A197" s="571" t="s">
        <v>2148</v>
      </c>
      <c r="B197" s="587">
        <f>B176+B175</f>
        <v>105.32720358266573</v>
      </c>
      <c r="C197" s="571" t="s">
        <v>2168</v>
      </c>
      <c r="D197" s="571"/>
      <c r="E197" s="571"/>
      <c r="F197" s="571"/>
      <c r="G197" s="571"/>
      <c r="H197" s="571"/>
      <c r="I197" s="571" t="s">
        <v>2148</v>
      </c>
      <c r="J197" s="701">
        <f>B197*1000*0.00571</f>
        <v>601.41833245702139</v>
      </c>
      <c r="K197" s="571" t="s">
        <v>2169</v>
      </c>
      <c r="L197" s="571"/>
      <c r="M197" s="571"/>
      <c r="N197" s="571"/>
      <c r="O197" s="571"/>
      <c r="P197" s="571"/>
      <c r="Q197" s="5"/>
      <c r="R197" s="5"/>
      <c r="S197" s="5"/>
      <c r="T197" s="5"/>
      <c r="U197" s="5"/>
      <c r="V197" s="5"/>
      <c r="W197" s="5"/>
      <c r="X197" s="5"/>
      <c r="Y197" s="5"/>
    </row>
    <row r="198" spans="1:25" x14ac:dyDescent="0.2">
      <c r="A198" s="571" t="s">
        <v>158</v>
      </c>
      <c r="B198" s="587">
        <f>B175*B170/(B176+B175)</f>
        <v>211.0398126494197</v>
      </c>
      <c r="C198" s="571" t="s">
        <v>2170</v>
      </c>
      <c r="D198" s="571"/>
      <c r="E198" s="571"/>
      <c r="F198" s="571"/>
      <c r="G198" s="571"/>
      <c r="H198" s="571"/>
      <c r="I198" s="571" t="s">
        <v>158</v>
      </c>
      <c r="J198" s="587">
        <f>B198/25.4</f>
        <v>8.3086540413157373</v>
      </c>
      <c r="K198" s="571" t="s">
        <v>2171</v>
      </c>
      <c r="L198" s="571"/>
      <c r="M198" s="571"/>
      <c r="N198" s="571"/>
      <c r="O198" s="571"/>
      <c r="P198" s="571"/>
      <c r="Q198" s="5"/>
      <c r="R198" s="5"/>
      <c r="S198" s="5"/>
      <c r="T198" s="5"/>
      <c r="U198" s="5"/>
      <c r="V198" s="5"/>
      <c r="W198" s="5"/>
      <c r="X198" s="5"/>
      <c r="Y198" s="5"/>
    </row>
    <row r="199" spans="1:25" x14ac:dyDescent="0.2">
      <c r="A199" s="571" t="s">
        <v>526</v>
      </c>
      <c r="B199" s="587">
        <f>B173/2+B198-B171/2</f>
        <v>51.039812649419673</v>
      </c>
      <c r="C199" s="571" t="s">
        <v>2172</v>
      </c>
      <c r="D199" s="571"/>
      <c r="E199" s="571"/>
      <c r="F199" s="571"/>
      <c r="G199" s="571"/>
      <c r="H199" s="571"/>
      <c r="I199" s="571" t="s">
        <v>526</v>
      </c>
      <c r="J199" s="587">
        <f>B199/25.4</f>
        <v>2.0094414428905383</v>
      </c>
      <c r="K199" s="571" t="s">
        <v>2173</v>
      </c>
      <c r="L199" s="571"/>
      <c r="M199" s="571"/>
      <c r="N199" s="571"/>
      <c r="O199" s="571"/>
      <c r="P199" s="571"/>
      <c r="Q199" s="5"/>
      <c r="R199" s="5"/>
      <c r="S199" s="5"/>
      <c r="T199" s="5"/>
      <c r="U199" s="5"/>
      <c r="V199" s="5"/>
      <c r="W199" s="5"/>
      <c r="X199" s="5"/>
      <c r="Y199" s="5"/>
    </row>
    <row r="200" spans="1:25" x14ac:dyDescent="0.2">
      <c r="A200" s="571" t="s">
        <v>2152</v>
      </c>
      <c r="B200" s="587">
        <f>B171/6</f>
        <v>150</v>
      </c>
      <c r="C200" s="571" t="s">
        <v>2174</v>
      </c>
      <c r="D200" s="571"/>
      <c r="E200" s="571"/>
      <c r="F200" s="571"/>
      <c r="G200" s="571"/>
      <c r="H200" s="571"/>
      <c r="I200" s="571" t="s">
        <v>2152</v>
      </c>
      <c r="J200" s="587">
        <f>B200/25.4</f>
        <v>5.9055118110236222</v>
      </c>
      <c r="K200" s="571" t="s">
        <v>2175</v>
      </c>
      <c r="L200" s="571"/>
      <c r="M200" s="571"/>
      <c r="N200" s="571"/>
      <c r="O200" s="571"/>
      <c r="P200" s="571"/>
      <c r="Q200" s="5"/>
      <c r="R200" s="5"/>
      <c r="S200" s="5"/>
      <c r="T200" s="5"/>
      <c r="U200" s="5"/>
      <c r="V200" s="5"/>
      <c r="W200" s="5"/>
      <c r="X200" s="5"/>
      <c r="Y200" s="5"/>
    </row>
    <row r="201" spans="1:25" x14ac:dyDescent="0.2">
      <c r="A201" s="5"/>
      <c r="B201" s="5"/>
      <c r="C201" s="5"/>
      <c r="D201" s="5"/>
      <c r="E201" s="5"/>
      <c r="F201" s="571"/>
      <c r="G201" s="571"/>
      <c r="H201" s="571"/>
      <c r="I201" s="5"/>
      <c r="J201" s="5"/>
      <c r="K201" s="5"/>
      <c r="L201" s="5"/>
      <c r="M201" s="5"/>
      <c r="N201" s="571"/>
      <c r="O201" s="571"/>
      <c r="P201" s="571"/>
      <c r="Q201" s="5"/>
      <c r="R201" s="5"/>
      <c r="S201" s="5"/>
      <c r="T201" s="5"/>
      <c r="U201" s="5"/>
      <c r="V201" s="5"/>
      <c r="W201" s="5"/>
      <c r="X201" s="5"/>
      <c r="Y201" s="5"/>
    </row>
    <row r="202" spans="1:25" x14ac:dyDescent="0.2">
      <c r="A202" s="571" t="s">
        <v>2176</v>
      </c>
      <c r="B202" s="433">
        <v>2.5</v>
      </c>
      <c r="C202" s="571" t="s">
        <v>2177</v>
      </c>
      <c r="D202" s="5"/>
      <c r="E202" s="5"/>
      <c r="F202" s="571"/>
      <c r="G202" s="571"/>
      <c r="H202" s="571"/>
      <c r="I202" s="571" t="s">
        <v>2176</v>
      </c>
      <c r="J202" s="433">
        <v>2.5</v>
      </c>
      <c r="K202" s="571" t="s">
        <v>2177</v>
      </c>
      <c r="L202" s="5"/>
      <c r="M202" s="5"/>
      <c r="N202" s="571"/>
      <c r="O202" s="571"/>
      <c r="P202" s="571"/>
      <c r="Q202" s="5"/>
      <c r="R202" s="5"/>
      <c r="S202" s="5"/>
      <c r="T202" s="5"/>
      <c r="U202" s="5"/>
      <c r="V202" s="5"/>
      <c r="W202" s="5"/>
      <c r="X202" s="5"/>
      <c r="Y202" s="5"/>
    </row>
    <row r="203" spans="1:25" x14ac:dyDescent="0.2">
      <c r="A203" s="571" t="s">
        <v>2155</v>
      </c>
      <c r="B203" s="587">
        <f>B197/B171*(1+ABS(6*B199/B171))</f>
        <v>0.15685156500108446</v>
      </c>
      <c r="C203" s="571" t="s">
        <v>2178</v>
      </c>
      <c r="D203" s="571"/>
      <c r="E203" s="571"/>
      <c r="F203" s="571"/>
      <c r="G203" s="571"/>
      <c r="H203" s="571"/>
      <c r="I203" s="571" t="s">
        <v>2155</v>
      </c>
      <c r="J203" s="587">
        <f>B203*145.04</f>
        <v>22.749750987757288</v>
      </c>
      <c r="K203" s="571" t="s">
        <v>2179</v>
      </c>
      <c r="L203" s="571"/>
      <c r="M203" s="571"/>
      <c r="N203" s="571"/>
      <c r="O203" s="571"/>
      <c r="P203" s="571"/>
      <c r="Q203" s="5"/>
      <c r="R203" s="5"/>
      <c r="S203" s="5"/>
      <c r="T203" s="5"/>
      <c r="U203" s="5"/>
      <c r="V203" s="5"/>
      <c r="W203" s="5"/>
      <c r="X203" s="5"/>
      <c r="Y203" s="5"/>
    </row>
    <row r="204" spans="1:25" x14ac:dyDescent="0.2">
      <c r="A204" s="571" t="s">
        <v>2180</v>
      </c>
      <c r="B204" s="587">
        <f>+B202*B203</f>
        <v>0.39212891250271115</v>
      </c>
      <c r="C204" s="571" t="s">
        <v>2181</v>
      </c>
      <c r="D204" s="571"/>
      <c r="E204" s="571"/>
      <c r="F204" s="571"/>
      <c r="G204" s="571"/>
      <c r="H204" s="571"/>
      <c r="I204" s="571" t="s">
        <v>2180</v>
      </c>
      <c r="J204" s="587">
        <f>B204*145.04</f>
        <v>56.874377469393224</v>
      </c>
      <c r="K204" s="571" t="s">
        <v>2183</v>
      </c>
      <c r="L204" s="571"/>
      <c r="M204" s="571"/>
      <c r="N204" s="571"/>
      <c r="O204" s="571"/>
      <c r="P204" s="571"/>
      <c r="Q204" s="5"/>
      <c r="R204" s="5"/>
      <c r="S204" s="5"/>
      <c r="T204" s="5"/>
      <c r="U204" s="5"/>
      <c r="V204" s="5"/>
      <c r="W204" s="5"/>
      <c r="X204" s="5"/>
      <c r="Y204" s="5"/>
    </row>
    <row r="205" spans="1:25" x14ac:dyDescent="0.2">
      <c r="A205" s="5"/>
      <c r="B205" s="588">
        <v>0.8</v>
      </c>
      <c r="C205" s="571" t="s">
        <v>2184</v>
      </c>
      <c r="D205" s="571"/>
      <c r="E205" s="571"/>
      <c r="F205" s="705" t="s">
        <v>2185</v>
      </c>
      <c r="G205" s="706">
        <v>800</v>
      </c>
      <c r="H205" s="571"/>
      <c r="I205" s="571"/>
      <c r="J205" s="587">
        <f>B205*145.04</f>
        <v>116.032</v>
      </c>
      <c r="K205" s="571" t="s">
        <v>2186</v>
      </c>
      <c r="L205" s="571"/>
      <c r="M205" s="571"/>
      <c r="N205" s="709" t="str">
        <f>+F205</f>
        <v>HLB</v>
      </c>
      <c r="O205" s="573">
        <f>+G205</f>
        <v>800</v>
      </c>
      <c r="P205" s="571"/>
      <c r="Q205" s="5"/>
      <c r="R205" s="5"/>
      <c r="S205" s="5"/>
      <c r="T205" s="5"/>
      <c r="U205" s="5"/>
      <c r="V205" s="5"/>
      <c r="W205" s="5"/>
      <c r="X205" s="5"/>
      <c r="Y205" s="5"/>
    </row>
    <row r="206" spans="1:25" x14ac:dyDescent="0.2">
      <c r="A206" s="571" t="s">
        <v>2187</v>
      </c>
      <c r="B206" s="587">
        <f>+B205*B202/B204</f>
        <v>5.1003635188113607</v>
      </c>
      <c r="C206" s="571" t="s">
        <v>2188</v>
      </c>
      <c r="D206" s="5"/>
      <c r="E206" s="5"/>
      <c r="F206" s="571"/>
      <c r="G206" s="571"/>
      <c r="H206" s="571"/>
      <c r="I206" s="571" t="s">
        <v>2187</v>
      </c>
      <c r="J206" s="265">
        <f>+J205*J202/J204</f>
        <v>5.1003635188113607</v>
      </c>
      <c r="K206" s="571" t="s">
        <v>2188</v>
      </c>
      <c r="L206" s="5"/>
      <c r="M206" s="5"/>
      <c r="N206" s="571"/>
      <c r="O206" s="571"/>
      <c r="P206" s="571"/>
      <c r="Q206" s="5"/>
      <c r="R206" s="5"/>
      <c r="S206" s="5"/>
      <c r="T206" s="5"/>
      <c r="U206" s="5"/>
      <c r="V206" s="5"/>
      <c r="W206" s="5"/>
      <c r="X206" s="5"/>
      <c r="Y206" s="5"/>
    </row>
    <row r="207" spans="1:25" x14ac:dyDescent="0.2">
      <c r="A207" s="571"/>
      <c r="B207" s="693">
        <f>B205/B204</f>
        <v>2.0401454075245442</v>
      </c>
      <c r="C207" s="694" t="str">
        <f>IF(B207&gt;1,"OK","ERROR")</f>
        <v>OK</v>
      </c>
      <c r="D207" s="571"/>
      <c r="E207" s="571"/>
      <c r="F207" s="571"/>
      <c r="G207" s="571"/>
      <c r="H207" s="571"/>
      <c r="I207" s="571"/>
      <c r="J207" s="5"/>
      <c r="K207" s="571" t="s">
        <v>2120</v>
      </c>
      <c r="L207" s="693">
        <f>J205/J204</f>
        <v>2.0401454075245442</v>
      </c>
      <c r="M207" s="694" t="str">
        <f>IF(L207&gt;1,"OK","ERROR")</f>
        <v>OK</v>
      </c>
      <c r="N207" s="571"/>
      <c r="O207" s="571"/>
      <c r="P207" s="571"/>
      <c r="Q207" s="5"/>
      <c r="R207" s="5"/>
      <c r="S207" s="5"/>
      <c r="T207" s="5"/>
      <c r="U207" s="5"/>
      <c r="V207" s="5"/>
      <c r="W207" s="5"/>
      <c r="X207" s="5"/>
      <c r="Y207" s="5"/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92" t="s">
        <v>2192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710" t="s">
        <v>2193</v>
      </c>
      <c r="J210" s="711">
        <f>+'Earthquake API 650 OLE'!O205</f>
        <v>800</v>
      </c>
      <c r="K210" s="592" t="s">
        <v>2194</v>
      </c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</sheetData>
  <mergeCells count="190">
    <mergeCell ref="A4:C4"/>
    <mergeCell ref="E4:F4"/>
    <mergeCell ref="G4:H4"/>
    <mergeCell ref="I4:K4"/>
    <mergeCell ref="M4:N4"/>
    <mergeCell ref="O4:P4"/>
    <mergeCell ref="D1:H1"/>
    <mergeCell ref="L1:P1"/>
    <mergeCell ref="D2:H2"/>
    <mergeCell ref="L2:P2"/>
    <mergeCell ref="D3:H3"/>
    <mergeCell ref="L3:P3"/>
    <mergeCell ref="C10:H10"/>
    <mergeCell ref="K10:P10"/>
    <mergeCell ref="C11:H11"/>
    <mergeCell ref="K11:P11"/>
    <mergeCell ref="C12:H12"/>
    <mergeCell ref="K12:P12"/>
    <mergeCell ref="A5:C5"/>
    <mergeCell ref="E5:F5"/>
    <mergeCell ref="I5:K5"/>
    <mergeCell ref="M5:N5"/>
    <mergeCell ref="C9:H9"/>
    <mergeCell ref="K9:P9"/>
    <mergeCell ref="C16:H16"/>
    <mergeCell ref="K16:P16"/>
    <mergeCell ref="C17:H17"/>
    <mergeCell ref="K17:P17"/>
    <mergeCell ref="C18:H18"/>
    <mergeCell ref="K18:P18"/>
    <mergeCell ref="C13:H13"/>
    <mergeCell ref="K13:P13"/>
    <mergeCell ref="C14:H14"/>
    <mergeCell ref="K14:P14"/>
    <mergeCell ref="C15:H15"/>
    <mergeCell ref="K15:P15"/>
    <mergeCell ref="C26:H26"/>
    <mergeCell ref="K26:P26"/>
    <mergeCell ref="C27:H27"/>
    <mergeCell ref="K27:P27"/>
    <mergeCell ref="C28:H28"/>
    <mergeCell ref="K28:P28"/>
    <mergeCell ref="C19:H19"/>
    <mergeCell ref="K19:P19"/>
    <mergeCell ref="C24:H24"/>
    <mergeCell ref="K24:P24"/>
    <mergeCell ref="C25:H25"/>
    <mergeCell ref="K25:P25"/>
    <mergeCell ref="C32:H32"/>
    <mergeCell ref="K32:P32"/>
    <mergeCell ref="C33:H33"/>
    <mergeCell ref="K33:P33"/>
    <mergeCell ref="C34:H34"/>
    <mergeCell ref="K34:P34"/>
    <mergeCell ref="C29:H29"/>
    <mergeCell ref="K29:P29"/>
    <mergeCell ref="C30:H30"/>
    <mergeCell ref="K30:P30"/>
    <mergeCell ref="C31:H31"/>
    <mergeCell ref="K31:P31"/>
    <mergeCell ref="C38:H38"/>
    <mergeCell ref="K38:P38"/>
    <mergeCell ref="C39:H39"/>
    <mergeCell ref="K39:P39"/>
    <mergeCell ref="D42:H42"/>
    <mergeCell ref="L42:P42"/>
    <mergeCell ref="C35:H35"/>
    <mergeCell ref="K35:P35"/>
    <mergeCell ref="C36:H36"/>
    <mergeCell ref="K36:P36"/>
    <mergeCell ref="C37:H37"/>
    <mergeCell ref="K37:P37"/>
    <mergeCell ref="D43:H43"/>
    <mergeCell ref="L43:P43"/>
    <mergeCell ref="D44:H44"/>
    <mergeCell ref="L44:P44"/>
    <mergeCell ref="A45:C45"/>
    <mergeCell ref="E45:F45"/>
    <mergeCell ref="G45:H45"/>
    <mergeCell ref="I45:K45"/>
    <mergeCell ref="M45:N45"/>
    <mergeCell ref="O45:P45"/>
    <mergeCell ref="C50:H50"/>
    <mergeCell ref="K50:P50"/>
    <mergeCell ref="A54:H54"/>
    <mergeCell ref="I54:P54"/>
    <mergeCell ref="C56:H56"/>
    <mergeCell ref="K56:P56"/>
    <mergeCell ref="A46:C46"/>
    <mergeCell ref="E46:F46"/>
    <mergeCell ref="I46:K46"/>
    <mergeCell ref="M46:N46"/>
    <mergeCell ref="C48:H49"/>
    <mergeCell ref="K48:P49"/>
    <mergeCell ref="C61:H61"/>
    <mergeCell ref="K61:P61"/>
    <mergeCell ref="C62:H62"/>
    <mergeCell ref="K62:P62"/>
    <mergeCell ref="C69:H70"/>
    <mergeCell ref="K69:P70"/>
    <mergeCell ref="C57:H57"/>
    <mergeCell ref="K57:P57"/>
    <mergeCell ref="C58:H59"/>
    <mergeCell ref="K58:P59"/>
    <mergeCell ref="C60:H60"/>
    <mergeCell ref="K60:P60"/>
    <mergeCell ref="C75:H75"/>
    <mergeCell ref="K75:P75"/>
    <mergeCell ref="C77:H78"/>
    <mergeCell ref="K77:P78"/>
    <mergeCell ref="C79:H79"/>
    <mergeCell ref="K79:P79"/>
    <mergeCell ref="C71:H71"/>
    <mergeCell ref="K71:P71"/>
    <mergeCell ref="C73:H73"/>
    <mergeCell ref="K73:P73"/>
    <mergeCell ref="C74:H74"/>
    <mergeCell ref="K74:P74"/>
    <mergeCell ref="A89:C89"/>
    <mergeCell ref="E89:F89"/>
    <mergeCell ref="G89:H89"/>
    <mergeCell ref="I89:K89"/>
    <mergeCell ref="M89:N89"/>
    <mergeCell ref="O89:P89"/>
    <mergeCell ref="D86:H86"/>
    <mergeCell ref="L86:P86"/>
    <mergeCell ref="D87:H87"/>
    <mergeCell ref="L87:P87"/>
    <mergeCell ref="D88:H88"/>
    <mergeCell ref="L88:P88"/>
    <mergeCell ref="C97:H97"/>
    <mergeCell ref="K97:P97"/>
    <mergeCell ref="C98:H98"/>
    <mergeCell ref="K98:P98"/>
    <mergeCell ref="C99:H99"/>
    <mergeCell ref="K99:P99"/>
    <mergeCell ref="A90:C90"/>
    <mergeCell ref="E90:F90"/>
    <mergeCell ref="I90:K90"/>
    <mergeCell ref="M90:N90"/>
    <mergeCell ref="C96:H96"/>
    <mergeCell ref="K96:P96"/>
    <mergeCell ref="C107:H107"/>
    <mergeCell ref="K107:P107"/>
    <mergeCell ref="A112:H113"/>
    <mergeCell ref="I112:P113"/>
    <mergeCell ref="T118:Y118"/>
    <mergeCell ref="D124:H124"/>
    <mergeCell ref="L124:P124"/>
    <mergeCell ref="K100:P100"/>
    <mergeCell ref="C101:H101"/>
    <mergeCell ref="K101:P101"/>
    <mergeCell ref="C102:H102"/>
    <mergeCell ref="K102:P102"/>
    <mergeCell ref="C106:H106"/>
    <mergeCell ref="K106:P106"/>
    <mergeCell ref="D125:H125"/>
    <mergeCell ref="L125:P125"/>
    <mergeCell ref="D126:H126"/>
    <mergeCell ref="L126:P126"/>
    <mergeCell ref="A127:C127"/>
    <mergeCell ref="E127:F127"/>
    <mergeCell ref="G127:H127"/>
    <mergeCell ref="I127:K127"/>
    <mergeCell ref="M127:N127"/>
    <mergeCell ref="O127:P127"/>
    <mergeCell ref="D158:H158"/>
    <mergeCell ref="L158:P158"/>
    <mergeCell ref="D159:H159"/>
    <mergeCell ref="L159:P159"/>
    <mergeCell ref="D160:H160"/>
    <mergeCell ref="L160:P160"/>
    <mergeCell ref="A128:C128"/>
    <mergeCell ref="E128:F128"/>
    <mergeCell ref="I128:K128"/>
    <mergeCell ref="M128:N128"/>
    <mergeCell ref="A130:H132"/>
    <mergeCell ref="I130:P132"/>
    <mergeCell ref="A162:C162"/>
    <mergeCell ref="E162:F162"/>
    <mergeCell ref="I162:K162"/>
    <mergeCell ref="M162:N162"/>
    <mergeCell ref="A166:G167"/>
    <mergeCell ref="I166:O167"/>
    <mergeCell ref="A161:C161"/>
    <mergeCell ref="E161:F161"/>
    <mergeCell ref="G161:H161"/>
    <mergeCell ref="I161:K161"/>
    <mergeCell ref="M161:N161"/>
    <mergeCell ref="O161:P161"/>
  </mergeCells>
  <pageMargins left="0.74803149606299213" right="0.74803149606299213" top="0.98425196850393704" bottom="0.98425196850393704" header="0" footer="0"/>
  <pageSetup paperSize="9" scale="85" fitToHeight="0" orientation="portrait"/>
  <rowBreaks count="8" manualBreakCount="8">
    <brk id="41" max="7" man="1"/>
    <brk id="41" min="8" max="15" man="1"/>
    <brk id="85" max="7" man="1"/>
    <brk id="85" min="8" max="15" man="1"/>
    <brk id="123" max="7" man="1"/>
    <brk id="123" min="8" max="15" man="1"/>
    <brk id="157" max="7" man="1"/>
    <brk id="157" min="8" max="15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Y210"/>
  <sheetViews>
    <sheetView topLeftCell="A177" zoomScale="90" zoomScaleNormal="90" workbookViewId="0">
      <selection activeCell="E214" sqref="E214"/>
    </sheetView>
    <sheetView tabSelected="1" workbookViewId="1">
      <selection sqref="A1:AK5"/>
    </sheetView>
  </sheetViews>
  <sheetFormatPr defaultColWidth="9.140625" defaultRowHeight="12.75" x14ac:dyDescent="0.2"/>
  <cols>
    <col min="1" max="1" width="8.42578125" customWidth="1"/>
    <col min="2" max="2" width="14" customWidth="1"/>
    <col min="3" max="3" width="9.140625" customWidth="1"/>
    <col min="4" max="4" width="8.140625" customWidth="1"/>
    <col min="5" max="5" width="14.5703125" customWidth="1"/>
    <col min="6" max="6" width="8.140625" customWidth="1"/>
    <col min="7" max="7" width="7.85546875" customWidth="1"/>
    <col min="8" max="8" width="6.140625" customWidth="1"/>
    <col min="9" max="9" width="12.85546875" customWidth="1"/>
    <col min="10" max="10" width="14.5703125" customWidth="1"/>
    <col min="11" max="12" width="12.140625" customWidth="1"/>
    <col min="13" max="13" width="14" customWidth="1"/>
    <col min="14" max="14" width="13.140625" customWidth="1"/>
    <col min="15" max="15" width="13.42578125" customWidth="1"/>
    <col min="16" max="16" width="13.140625" customWidth="1"/>
    <col min="18" max="18" width="12.140625" customWidth="1"/>
    <col min="26" max="26" width="8.140625" customWidth="1"/>
  </cols>
  <sheetData>
    <row r="1" spans="1:25" ht="17.25" customHeight="1" thickTop="1" thickBot="1" x14ac:dyDescent="0.3">
      <c r="A1" s="28"/>
      <c r="B1" s="4"/>
      <c r="C1" s="408"/>
      <c r="D1" s="934" t="str">
        <f>'Front Page'!$A$13</f>
        <v>Mechanical  Calculations</v>
      </c>
      <c r="E1" s="842"/>
      <c r="F1" s="842"/>
      <c r="G1" s="842"/>
      <c r="H1" s="859"/>
      <c r="I1" s="28"/>
      <c r="J1" s="4"/>
      <c r="K1" s="408"/>
      <c r="L1" s="934" t="str">
        <f>'Front Page'!$A$13</f>
        <v>Mechanical  Calculations</v>
      </c>
      <c r="M1" s="842"/>
      <c r="N1" s="842"/>
      <c r="O1" s="842"/>
      <c r="P1" s="859"/>
      <c r="Q1" s="5"/>
      <c r="R1" s="5"/>
      <c r="S1" s="5"/>
      <c r="T1" s="5"/>
      <c r="U1" s="5"/>
      <c r="V1" s="5"/>
      <c r="W1" s="5"/>
      <c r="X1" s="5"/>
      <c r="Y1" s="5"/>
    </row>
    <row r="2" spans="1:25" ht="16.5" customHeight="1" thickBot="1" x14ac:dyDescent="0.3">
      <c r="A2" s="6"/>
      <c r="B2" s="5"/>
      <c r="C2" s="14"/>
      <c r="D2" s="984">
        <f>'Front Page'!$A$21</f>
        <v>0</v>
      </c>
      <c r="E2" s="831"/>
      <c r="F2" s="831"/>
      <c r="G2" s="831"/>
      <c r="H2" s="854"/>
      <c r="I2" s="6"/>
      <c r="J2" s="5"/>
      <c r="K2" s="14"/>
      <c r="L2" s="984">
        <f>'Front Page'!$A$21</f>
        <v>0</v>
      </c>
      <c r="M2" s="831"/>
      <c r="N2" s="831"/>
      <c r="O2" s="831"/>
      <c r="P2" s="854"/>
      <c r="Q2" s="5"/>
      <c r="R2" s="5"/>
      <c r="S2" s="5"/>
      <c r="T2" s="5"/>
      <c r="U2" s="5"/>
      <c r="V2" s="5"/>
      <c r="W2" s="5"/>
      <c r="X2" s="5"/>
      <c r="Y2" s="5"/>
    </row>
    <row r="3" spans="1:25" ht="16.5" customHeight="1" thickBot="1" x14ac:dyDescent="0.3">
      <c r="A3" s="8"/>
      <c r="B3" s="9"/>
      <c r="C3" s="409"/>
      <c r="D3" s="985" t="s">
        <v>1954</v>
      </c>
      <c r="E3" s="834"/>
      <c r="F3" s="834"/>
      <c r="G3" s="834"/>
      <c r="H3" s="986"/>
      <c r="I3" s="8"/>
      <c r="J3" s="9"/>
      <c r="K3" s="409"/>
      <c r="L3" s="985" t="s">
        <v>1954</v>
      </c>
      <c r="M3" s="834"/>
      <c r="N3" s="834"/>
      <c r="O3" s="834"/>
      <c r="P3" s="986"/>
      <c r="Q3" s="5"/>
      <c r="R3" s="5"/>
      <c r="S3" s="5"/>
      <c r="T3" s="5"/>
      <c r="U3" s="5"/>
      <c r="V3" s="5"/>
      <c r="W3" s="5"/>
      <c r="X3" s="5"/>
      <c r="Y3" s="5"/>
    </row>
    <row r="4" spans="1:25" ht="16.5" customHeight="1" thickTop="1" thickBot="1" x14ac:dyDescent="0.3">
      <c r="A4" s="873"/>
      <c r="B4" s="848"/>
      <c r="C4" s="865"/>
      <c r="D4" s="385" t="str">
        <f>'Front Page'!$D$4</f>
        <v>Doc Nº</v>
      </c>
      <c r="E4" s="980"/>
      <c r="F4" s="843"/>
      <c r="G4" s="980"/>
      <c r="H4" s="843"/>
      <c r="I4" s="873"/>
      <c r="J4" s="848"/>
      <c r="K4" s="865"/>
      <c r="L4" s="385" t="str">
        <f>'Front Page'!$D$4</f>
        <v>Doc Nº</v>
      </c>
      <c r="M4" s="980"/>
      <c r="N4" s="843"/>
      <c r="O4" s="980"/>
      <c r="P4" s="843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thickBot="1" x14ac:dyDescent="0.3">
      <c r="A5" s="860"/>
      <c r="B5" s="851"/>
      <c r="C5" s="861"/>
      <c r="D5" s="386" t="str">
        <f>'Front Page'!$D$5</f>
        <v>Project</v>
      </c>
      <c r="E5" s="899"/>
      <c r="F5" s="835"/>
      <c r="G5" s="131" t="s">
        <v>5</v>
      </c>
      <c r="H5" s="132"/>
      <c r="I5" s="860"/>
      <c r="J5" s="851"/>
      <c r="K5" s="861"/>
      <c r="L5" s="386" t="str">
        <f>'Front Page'!$D$5</f>
        <v>Project</v>
      </c>
      <c r="M5" s="899"/>
      <c r="N5" s="835"/>
      <c r="O5" s="131" t="s">
        <v>5</v>
      </c>
      <c r="P5" s="427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thickTop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0.25" customHeight="1" x14ac:dyDescent="0.3">
      <c r="A7" s="63" t="s">
        <v>1955</v>
      </c>
      <c r="B7" s="5"/>
      <c r="C7" s="5"/>
      <c r="D7" s="5"/>
      <c r="E7" s="5"/>
      <c r="F7" s="5"/>
      <c r="G7" s="5"/>
      <c r="H7" s="5"/>
      <c r="I7" s="63" t="s">
        <v>1955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2">
      <c r="A8" s="5"/>
      <c r="B8" s="5"/>
      <c r="C8" s="5"/>
      <c r="D8" s="5"/>
      <c r="E8" s="5"/>
      <c r="F8" s="5"/>
      <c r="G8" s="5"/>
      <c r="H8" s="5"/>
      <c r="I8" s="226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2.75" customHeight="1" x14ac:dyDescent="0.2">
      <c r="A9" s="5" t="s">
        <v>1957</v>
      </c>
      <c r="B9" s="641">
        <f>0.47*B12</f>
        <v>0.4941266666666666</v>
      </c>
      <c r="C9" s="1053" t="s">
        <v>1958</v>
      </c>
      <c r="D9" s="809"/>
      <c r="E9" s="809"/>
      <c r="F9" s="809"/>
      <c r="G9" s="809"/>
      <c r="H9" s="809"/>
      <c r="I9" s="226" t="s">
        <v>1957</v>
      </c>
      <c r="J9" s="641">
        <f t="shared" ref="J9:J19" si="0">B9</f>
        <v>0.4941266666666666</v>
      </c>
      <c r="K9" s="1053" t="s">
        <v>1958</v>
      </c>
      <c r="L9" s="809"/>
      <c r="M9" s="809"/>
      <c r="N9" s="809"/>
      <c r="O9" s="809"/>
      <c r="P9" s="809"/>
      <c r="Q9" s="5"/>
      <c r="R9" s="5"/>
      <c r="S9" s="5"/>
      <c r="T9" s="5"/>
      <c r="U9" s="5"/>
      <c r="V9" s="5"/>
      <c r="W9" s="5"/>
      <c r="X9" s="5"/>
      <c r="Y9" s="5"/>
    </row>
    <row r="10" spans="1:25" ht="12.75" customHeight="1" x14ac:dyDescent="0.2">
      <c r="A10" s="5" t="s">
        <v>1959</v>
      </c>
      <c r="B10" s="680">
        <v>0</v>
      </c>
      <c r="C10" s="1053" t="s">
        <v>1960</v>
      </c>
      <c r="D10" s="809"/>
      <c r="E10" s="809"/>
      <c r="F10" s="809"/>
      <c r="G10" s="809"/>
      <c r="H10" s="809"/>
      <c r="I10" s="226" t="s">
        <v>1959</v>
      </c>
      <c r="J10" s="681">
        <f t="shared" si="0"/>
        <v>0</v>
      </c>
      <c r="K10" s="1053" t="s">
        <v>1960</v>
      </c>
      <c r="L10" s="809"/>
      <c r="M10" s="809"/>
      <c r="N10" s="809"/>
      <c r="O10" s="809"/>
      <c r="P10" s="809"/>
      <c r="Q10" s="5"/>
      <c r="R10" s="5"/>
      <c r="S10" s="5"/>
      <c r="T10" s="5"/>
      <c r="U10" s="5"/>
      <c r="V10" s="5"/>
      <c r="W10" s="5"/>
      <c r="X10" s="5"/>
      <c r="Y10" s="5"/>
    </row>
    <row r="11" spans="1:25" ht="27" customHeight="1" x14ac:dyDescent="0.2">
      <c r="A11" s="5" t="s">
        <v>1961</v>
      </c>
      <c r="B11" s="259">
        <v>4</v>
      </c>
      <c r="C11" s="1053" t="s">
        <v>1962</v>
      </c>
      <c r="D11" s="809"/>
      <c r="E11" s="809"/>
      <c r="F11" s="809"/>
      <c r="G11" s="809"/>
      <c r="H11" s="809"/>
      <c r="I11" s="226" t="s">
        <v>1961</v>
      </c>
      <c r="J11" s="274">
        <f t="shared" si="0"/>
        <v>4</v>
      </c>
      <c r="K11" s="1053" t="s">
        <v>1962</v>
      </c>
      <c r="L11" s="809"/>
      <c r="M11" s="809"/>
      <c r="N11" s="809"/>
      <c r="O11" s="809"/>
      <c r="P11" s="809"/>
      <c r="Q11" s="5"/>
      <c r="R11" s="712" t="s">
        <v>2195</v>
      </c>
      <c r="S11" s="711" t="s">
        <v>2196</v>
      </c>
      <c r="T11" s="118"/>
      <c r="U11" s="118"/>
      <c r="V11" s="5"/>
      <c r="W11" s="5"/>
      <c r="X11" s="5"/>
      <c r="Y11" s="5"/>
    </row>
    <row r="12" spans="1:25" ht="28.5" customHeight="1" x14ac:dyDescent="0.2">
      <c r="A12" s="5" t="s">
        <v>1964</v>
      </c>
      <c r="B12" s="332">
        <f>B14*R12*B19</f>
        <v>1.0513333333333332</v>
      </c>
      <c r="C12" s="1053" t="s">
        <v>1966</v>
      </c>
      <c r="D12" s="809"/>
      <c r="E12" s="809"/>
      <c r="F12" s="809"/>
      <c r="G12" s="809"/>
      <c r="H12" s="809"/>
      <c r="I12" s="226" t="s">
        <v>1964</v>
      </c>
      <c r="J12" s="332">
        <f t="shared" si="0"/>
        <v>1.0513333333333332</v>
      </c>
      <c r="K12" s="1053" t="s">
        <v>1966</v>
      </c>
      <c r="L12" s="809"/>
      <c r="M12" s="809"/>
      <c r="N12" s="809"/>
      <c r="O12" s="809"/>
      <c r="P12" s="809"/>
      <c r="Q12" s="5"/>
      <c r="R12" s="713">
        <v>1.577</v>
      </c>
      <c r="S12" s="714" t="s">
        <v>1742</v>
      </c>
      <c r="T12" s="118"/>
      <c r="U12" s="118"/>
      <c r="V12" s="5"/>
      <c r="W12" s="5"/>
      <c r="X12" s="5"/>
      <c r="Y12" s="5"/>
    </row>
    <row r="13" spans="1:25" ht="25.5" customHeight="1" x14ac:dyDescent="0.2">
      <c r="A13" s="5" t="s">
        <v>1967</v>
      </c>
      <c r="B13" s="332">
        <f>B19*R13</f>
        <v>0.39733333333333332</v>
      </c>
      <c r="C13" s="1053" t="s">
        <v>1969</v>
      </c>
      <c r="D13" s="809"/>
      <c r="E13" s="809"/>
      <c r="F13" s="809"/>
      <c r="G13" s="809"/>
      <c r="H13" s="809"/>
      <c r="I13" s="226" t="s">
        <v>1967</v>
      </c>
      <c r="J13" s="332">
        <f t="shared" si="0"/>
        <v>0.39733333333333332</v>
      </c>
      <c r="K13" s="1053" t="s">
        <v>1969</v>
      </c>
      <c r="L13" s="809"/>
      <c r="M13" s="809"/>
      <c r="N13" s="809"/>
      <c r="O13" s="809"/>
      <c r="P13" s="809"/>
      <c r="Q13" s="5"/>
      <c r="R13" s="715">
        <v>0.59599999999999997</v>
      </c>
      <c r="S13" s="716" t="s">
        <v>1970</v>
      </c>
      <c r="T13" s="118"/>
      <c r="U13" s="118"/>
      <c r="V13" s="5"/>
      <c r="W13" s="5"/>
      <c r="X13" s="5"/>
      <c r="Y13" s="5"/>
    </row>
    <row r="14" spans="1:25" ht="12.75" customHeight="1" x14ac:dyDescent="0.2">
      <c r="A14" s="5" t="s">
        <v>1971</v>
      </c>
      <c r="B14" s="216">
        <v>1</v>
      </c>
      <c r="C14" s="1053" t="s">
        <v>1972</v>
      </c>
      <c r="D14" s="809"/>
      <c r="E14" s="809"/>
      <c r="F14" s="809"/>
      <c r="G14" s="809"/>
      <c r="H14" s="809"/>
      <c r="I14" s="226" t="s">
        <v>1971</v>
      </c>
      <c r="J14" s="274">
        <f t="shared" si="0"/>
        <v>1</v>
      </c>
      <c r="K14" s="1053" t="s">
        <v>1972</v>
      </c>
      <c r="L14" s="809"/>
      <c r="M14" s="809"/>
      <c r="N14" s="809"/>
      <c r="O14" s="809"/>
      <c r="P14" s="809"/>
      <c r="Q14" s="5"/>
      <c r="R14" s="5"/>
      <c r="S14" s="5"/>
      <c r="T14" s="5"/>
      <c r="U14" s="5"/>
      <c r="V14" s="5"/>
      <c r="W14" s="5"/>
      <c r="X14" s="5"/>
      <c r="Y14" s="5"/>
    </row>
    <row r="15" spans="1:25" ht="12.75" customHeight="1" x14ac:dyDescent="0.2">
      <c r="A15" s="5" t="s">
        <v>190</v>
      </c>
      <c r="B15" s="259">
        <v>1.25</v>
      </c>
      <c r="C15" s="1053" t="s">
        <v>1974</v>
      </c>
      <c r="D15" s="809"/>
      <c r="E15" s="809"/>
      <c r="F15" s="809"/>
      <c r="G15" s="809"/>
      <c r="H15" s="809"/>
      <c r="I15" s="226" t="s">
        <v>190</v>
      </c>
      <c r="J15" s="717">
        <f t="shared" si="0"/>
        <v>1.25</v>
      </c>
      <c r="K15" s="1053" t="s">
        <v>1974</v>
      </c>
      <c r="L15" s="809"/>
      <c r="M15" s="809"/>
      <c r="N15" s="809"/>
      <c r="O15" s="809"/>
      <c r="P15" s="809"/>
      <c r="Q15" s="5"/>
      <c r="R15" s="5"/>
      <c r="S15" s="5"/>
      <c r="T15" s="5"/>
      <c r="U15" s="5"/>
      <c r="V15" s="5"/>
      <c r="W15" s="5"/>
      <c r="X15" s="5"/>
      <c r="Y15" s="5"/>
    </row>
    <row r="16" spans="1:25" ht="26.25" customHeight="1" x14ac:dyDescent="0.2">
      <c r="A16" s="5" t="s">
        <v>1975</v>
      </c>
      <c r="B16" s="216">
        <v>1.75</v>
      </c>
      <c r="C16" s="1053" t="s">
        <v>1976</v>
      </c>
      <c r="D16" s="809"/>
      <c r="E16" s="809"/>
      <c r="F16" s="809"/>
      <c r="G16" s="809"/>
      <c r="H16" s="809"/>
      <c r="I16" s="226" t="s">
        <v>1975</v>
      </c>
      <c r="J16" s="274">
        <f t="shared" si="0"/>
        <v>1.75</v>
      </c>
      <c r="K16" s="1059" t="s">
        <v>1977</v>
      </c>
      <c r="L16" s="809"/>
      <c r="M16" s="809"/>
      <c r="N16" s="809"/>
      <c r="O16" s="809"/>
      <c r="P16" s="809"/>
      <c r="Q16" s="5"/>
      <c r="R16" s="5"/>
      <c r="S16" s="5"/>
      <c r="T16" s="5"/>
      <c r="U16" s="5"/>
      <c r="V16" s="5"/>
      <c r="W16" s="5"/>
      <c r="X16" s="5"/>
      <c r="Y16" s="5"/>
    </row>
    <row r="17" spans="1:25" ht="27.75" customHeight="1" x14ac:dyDescent="0.2">
      <c r="A17" s="5" t="s">
        <v>1978</v>
      </c>
      <c r="B17" s="216">
        <v>1</v>
      </c>
      <c r="C17" s="1053" t="s">
        <v>1979</v>
      </c>
      <c r="D17" s="809"/>
      <c r="E17" s="809"/>
      <c r="F17" s="809"/>
      <c r="G17" s="809"/>
      <c r="H17" s="809"/>
      <c r="I17" s="226" t="s">
        <v>1978</v>
      </c>
      <c r="J17" s="274">
        <f t="shared" si="0"/>
        <v>1</v>
      </c>
      <c r="K17" s="1059" t="s">
        <v>1977</v>
      </c>
      <c r="L17" s="809"/>
      <c r="M17" s="809"/>
      <c r="N17" s="809"/>
      <c r="O17" s="809"/>
      <c r="P17" s="809"/>
      <c r="Q17" s="5"/>
      <c r="R17" s="5"/>
      <c r="S17" s="5"/>
      <c r="T17" s="5"/>
      <c r="U17" s="5"/>
      <c r="V17" s="5"/>
      <c r="W17" s="5"/>
      <c r="X17" s="5"/>
      <c r="Y17" s="5"/>
    </row>
    <row r="18" spans="1:25" ht="12.75" customHeight="1" x14ac:dyDescent="0.2">
      <c r="A18" s="5" t="s">
        <v>1980</v>
      </c>
      <c r="B18" s="259">
        <v>1.5</v>
      </c>
      <c r="C18" s="1053" t="s">
        <v>1981</v>
      </c>
      <c r="D18" s="809"/>
      <c r="E18" s="809"/>
      <c r="F18" s="809"/>
      <c r="G18" s="809"/>
      <c r="H18" s="809"/>
      <c r="I18" s="226" t="s">
        <v>1980</v>
      </c>
      <c r="J18" s="274">
        <f t="shared" si="0"/>
        <v>1.5</v>
      </c>
      <c r="K18" s="1053" t="s">
        <v>1981</v>
      </c>
      <c r="L18" s="809"/>
      <c r="M18" s="809"/>
      <c r="N18" s="809"/>
      <c r="O18" s="809"/>
      <c r="P18" s="809"/>
      <c r="Q18" s="5"/>
      <c r="R18" s="5"/>
      <c r="S18" s="5"/>
      <c r="T18" s="5"/>
      <c r="U18" s="5"/>
      <c r="V18" s="5"/>
      <c r="W18" s="5"/>
      <c r="X18" s="5"/>
      <c r="Y18" s="5"/>
    </row>
    <row r="19" spans="1:25" ht="12.75" customHeight="1" x14ac:dyDescent="0.2">
      <c r="A19" s="5" t="s">
        <v>1982</v>
      </c>
      <c r="B19" s="217">
        <f>2/3</f>
        <v>0.66666666666666663</v>
      </c>
      <c r="C19" s="1053" t="s">
        <v>1983</v>
      </c>
      <c r="D19" s="809"/>
      <c r="E19" s="809"/>
      <c r="F19" s="809"/>
      <c r="G19" s="809"/>
      <c r="H19" s="809"/>
      <c r="I19" s="226" t="s">
        <v>1982</v>
      </c>
      <c r="J19" s="635">
        <f t="shared" si="0"/>
        <v>0.66666666666666663</v>
      </c>
      <c r="K19" s="1053" t="s">
        <v>1983</v>
      </c>
      <c r="L19" s="809"/>
      <c r="M19" s="809"/>
      <c r="N19" s="809"/>
      <c r="O19" s="809"/>
      <c r="P19" s="809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0.25" customHeight="1" x14ac:dyDescent="0.3">
      <c r="A22" s="63" t="s">
        <v>1984</v>
      </c>
      <c r="B22" s="5"/>
      <c r="C22" s="5"/>
      <c r="D22" s="5"/>
      <c r="E22" s="5"/>
      <c r="F22" s="5"/>
      <c r="G22" s="5"/>
      <c r="H22" s="5"/>
      <c r="I22" s="63" t="s">
        <v>1984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.75" customHeight="1" x14ac:dyDescent="0.2">
      <c r="A24" s="82" t="s">
        <v>1985</v>
      </c>
      <c r="B24" s="683">
        <f>'Main Dimensions Calcs'!H19/1000</f>
        <v>3.75</v>
      </c>
      <c r="C24" s="1053" t="s">
        <v>1986</v>
      </c>
      <c r="D24" s="809"/>
      <c r="E24" s="809"/>
      <c r="F24" s="809"/>
      <c r="G24" s="809"/>
      <c r="H24" s="809"/>
      <c r="I24" s="718" t="s">
        <v>1985</v>
      </c>
      <c r="J24" s="683">
        <f>B24*1000/25.4</f>
        <v>147.63779527559055</v>
      </c>
      <c r="K24" s="1059" t="s">
        <v>1987</v>
      </c>
      <c r="L24" s="809"/>
      <c r="M24" s="809"/>
      <c r="N24" s="809"/>
      <c r="O24" s="809"/>
      <c r="P24" s="809"/>
      <c r="Q24" s="5"/>
      <c r="R24" s="5"/>
      <c r="S24" s="5"/>
      <c r="T24" s="5"/>
      <c r="U24" s="5"/>
      <c r="V24" s="5"/>
      <c r="W24" s="5"/>
      <c r="X24" s="5"/>
      <c r="Y24" s="5"/>
    </row>
    <row r="25" spans="1:25" ht="12.75" customHeight="1" x14ac:dyDescent="0.2">
      <c r="A25" s="82" t="s">
        <v>1988</v>
      </c>
      <c r="B25" s="683">
        <f>'Main Dimensions Calcs'!D60/1000+B37</f>
        <v>6.5088166926487503</v>
      </c>
      <c r="C25" s="1053" t="s">
        <v>1989</v>
      </c>
      <c r="D25" s="809"/>
      <c r="E25" s="809"/>
      <c r="F25" s="809"/>
      <c r="G25" s="809"/>
      <c r="H25" s="809"/>
      <c r="I25" s="718" t="s">
        <v>1988</v>
      </c>
      <c r="J25" s="683">
        <f>B25*1000/25.4</f>
        <v>256.25262569483272</v>
      </c>
      <c r="K25" s="1059" t="s">
        <v>1990</v>
      </c>
      <c r="L25" s="809"/>
      <c r="M25" s="809"/>
      <c r="N25" s="809"/>
      <c r="O25" s="809"/>
      <c r="P25" s="809"/>
      <c r="Q25" s="5"/>
      <c r="R25" s="5"/>
      <c r="S25" s="5"/>
      <c r="T25" s="5"/>
      <c r="U25" s="5"/>
      <c r="V25" s="5"/>
      <c r="W25" s="5"/>
      <c r="X25" s="5"/>
      <c r="Y25" s="5"/>
    </row>
    <row r="26" spans="1:25" ht="28.5" customHeight="1" x14ac:dyDescent="0.2">
      <c r="A26" s="82" t="s">
        <v>1991</v>
      </c>
      <c r="B26" s="684">
        <v>206.8</v>
      </c>
      <c r="C26" s="932" t="s">
        <v>1992</v>
      </c>
      <c r="D26" s="809"/>
      <c r="E26" s="809"/>
      <c r="F26" s="809"/>
      <c r="G26" s="809"/>
      <c r="H26" s="809"/>
      <c r="I26" s="718" t="s">
        <v>1991</v>
      </c>
      <c r="J26" s="683">
        <f>+B26</f>
        <v>206.8</v>
      </c>
      <c r="K26" s="932" t="s">
        <v>1992</v>
      </c>
      <c r="L26" s="809"/>
      <c r="M26" s="809"/>
      <c r="N26" s="809"/>
      <c r="O26" s="809"/>
      <c r="P26" s="809"/>
      <c r="Q26" s="5"/>
      <c r="R26" s="5"/>
      <c r="S26" s="5"/>
      <c r="T26" s="5"/>
      <c r="U26" s="5"/>
      <c r="V26" s="5"/>
      <c r="W26" s="5"/>
      <c r="X26" s="5"/>
      <c r="Y26" s="5"/>
    </row>
    <row r="27" spans="1:25" ht="36.75" customHeight="1" x14ac:dyDescent="0.2">
      <c r="A27" s="82" t="s">
        <v>1993</v>
      </c>
      <c r="B27" s="684">
        <v>10</v>
      </c>
      <c r="C27" s="982" t="s">
        <v>1994</v>
      </c>
      <c r="D27" s="809"/>
      <c r="E27" s="809"/>
      <c r="F27" s="809"/>
      <c r="G27" s="809"/>
      <c r="H27" s="809"/>
      <c r="I27" s="718" t="s">
        <v>1993</v>
      </c>
      <c r="J27" s="683">
        <f>B27/25.4</f>
        <v>0.39370078740157483</v>
      </c>
      <c r="K27" s="901" t="s">
        <v>1995</v>
      </c>
      <c r="L27" s="809"/>
      <c r="M27" s="809"/>
      <c r="N27" s="809"/>
      <c r="O27" s="809"/>
      <c r="P27" s="809"/>
      <c r="Q27" s="5"/>
      <c r="R27" s="5"/>
      <c r="S27" s="5"/>
      <c r="T27" s="5"/>
      <c r="U27" s="5"/>
      <c r="V27" s="5"/>
      <c r="W27" s="5"/>
      <c r="X27" s="5"/>
      <c r="Y27" s="5"/>
    </row>
    <row r="28" spans="1:25" ht="27" customHeight="1" x14ac:dyDescent="0.2">
      <c r="A28" s="82" t="s">
        <v>1996</v>
      </c>
      <c r="B28" s="719">
        <f>'Loads on slab'!H34*9.8/(PI()*B36)</f>
        <v>77.25</v>
      </c>
      <c r="C28" s="982" t="s">
        <v>1997</v>
      </c>
      <c r="D28" s="809"/>
      <c r="E28" s="809"/>
      <c r="F28" s="809"/>
      <c r="G28" s="809"/>
      <c r="H28" s="809"/>
      <c r="I28" s="718" t="s">
        <v>1996</v>
      </c>
      <c r="J28" s="683">
        <f>B28</f>
        <v>77.25</v>
      </c>
      <c r="K28" s="982" t="s">
        <v>1997</v>
      </c>
      <c r="L28" s="809"/>
      <c r="M28" s="809"/>
      <c r="N28" s="809"/>
      <c r="O28" s="809"/>
      <c r="P28" s="809"/>
      <c r="Q28" s="5"/>
      <c r="R28" s="5"/>
      <c r="S28" s="5"/>
      <c r="T28" s="5"/>
      <c r="U28" s="5"/>
      <c r="V28" s="5"/>
      <c r="W28" s="5"/>
      <c r="X28" s="5"/>
      <c r="Y28" s="5"/>
    </row>
    <row r="29" spans="1:25" ht="26.25" customHeight="1" x14ac:dyDescent="0.2">
      <c r="A29" s="82" t="s">
        <v>1998</v>
      </c>
      <c r="B29" s="683">
        <f>'Weight Calculations'!H71*9.8/(B36*PI())</f>
        <v>5676.1051705299096</v>
      </c>
      <c r="C29" s="1053" t="s">
        <v>1999</v>
      </c>
      <c r="D29" s="809"/>
      <c r="E29" s="809"/>
      <c r="F29" s="809"/>
      <c r="G29" s="809"/>
      <c r="H29" s="809"/>
      <c r="I29" s="718" t="s">
        <v>1998</v>
      </c>
      <c r="J29" s="683">
        <f>B29</f>
        <v>5676.1051705299096</v>
      </c>
      <c r="K29" s="1053" t="s">
        <v>1999</v>
      </c>
      <c r="L29" s="809"/>
      <c r="M29" s="809"/>
      <c r="N29" s="809"/>
      <c r="O29" s="809"/>
      <c r="P29" s="809"/>
      <c r="Q29" s="5"/>
      <c r="R29" s="5"/>
      <c r="S29" s="5"/>
      <c r="T29" s="5"/>
      <c r="U29" s="5"/>
      <c r="V29" s="5"/>
      <c r="W29" s="5"/>
      <c r="X29" s="5"/>
      <c r="Y29" s="5"/>
    </row>
    <row r="30" spans="1:25" ht="12.75" customHeight="1" x14ac:dyDescent="0.2">
      <c r="A30" s="82" t="s">
        <v>1712</v>
      </c>
      <c r="B30" s="719">
        <f>'Main Dimensions Calcs'!H7</f>
        <v>8</v>
      </c>
      <c r="C30" s="1053" t="s">
        <v>2000</v>
      </c>
      <c r="D30" s="809"/>
      <c r="E30" s="809"/>
      <c r="F30" s="809"/>
      <c r="G30" s="809"/>
      <c r="H30" s="809"/>
      <c r="I30" s="718" t="s">
        <v>1712</v>
      </c>
      <c r="J30" s="683">
        <f>B30/25.4</f>
        <v>0.31496062992125984</v>
      </c>
      <c r="K30" s="1059" t="s">
        <v>2001</v>
      </c>
      <c r="L30" s="809"/>
      <c r="M30" s="809"/>
      <c r="N30" s="809"/>
      <c r="O30" s="809"/>
      <c r="P30" s="809"/>
      <c r="Q30" s="5"/>
      <c r="R30" s="5"/>
      <c r="S30" s="5"/>
      <c r="T30" s="5"/>
      <c r="U30" s="5"/>
      <c r="V30" s="5"/>
      <c r="W30" s="5"/>
      <c r="X30" s="5"/>
      <c r="Y30" s="5"/>
    </row>
    <row r="31" spans="1:25" ht="12.75" customHeight="1" x14ac:dyDescent="0.2">
      <c r="A31" s="82" t="s">
        <v>2002</v>
      </c>
      <c r="B31" s="719">
        <f>'Design Conditions'!G33/1000</f>
        <v>0.80800000000000005</v>
      </c>
      <c r="C31" s="1053" t="s">
        <v>2003</v>
      </c>
      <c r="D31" s="809"/>
      <c r="E31" s="809"/>
      <c r="F31" s="809"/>
      <c r="G31" s="809"/>
      <c r="H31" s="809"/>
      <c r="I31" s="718" t="s">
        <v>2002</v>
      </c>
      <c r="J31" s="683">
        <f>B31</f>
        <v>0.80800000000000005</v>
      </c>
      <c r="K31" s="1053" t="s">
        <v>2003</v>
      </c>
      <c r="L31" s="809"/>
      <c r="M31" s="809"/>
      <c r="N31" s="809"/>
      <c r="O31" s="809"/>
      <c r="P31" s="809"/>
      <c r="Q31" s="5"/>
      <c r="R31" s="5"/>
      <c r="S31" s="5"/>
      <c r="T31" s="5"/>
      <c r="U31" s="5"/>
      <c r="V31" s="5"/>
      <c r="W31" s="5"/>
      <c r="X31" s="5"/>
      <c r="Y31" s="5"/>
    </row>
    <row r="32" spans="1:25" ht="27" customHeight="1" x14ac:dyDescent="0.2">
      <c r="A32" s="82" t="s">
        <v>1150</v>
      </c>
      <c r="B32" s="683">
        <f>'Weight Calculations'!H70*9.8</f>
        <v>370914.75827718701</v>
      </c>
      <c r="C32" s="1055" t="s">
        <v>2004</v>
      </c>
      <c r="D32" s="809"/>
      <c r="E32" s="809"/>
      <c r="F32" s="809"/>
      <c r="G32" s="809"/>
      <c r="H32" s="809"/>
      <c r="I32" s="718" t="s">
        <v>1150</v>
      </c>
      <c r="J32" s="683">
        <f>B32*0.225</f>
        <v>83455.820612367083</v>
      </c>
      <c r="K32" s="1059" t="s">
        <v>2005</v>
      </c>
      <c r="L32" s="809"/>
      <c r="M32" s="809"/>
      <c r="N32" s="809"/>
      <c r="O32" s="809"/>
      <c r="P32" s="809"/>
      <c r="Q32" s="5"/>
      <c r="R32" s="5"/>
      <c r="S32" s="5"/>
      <c r="T32" s="5"/>
      <c r="U32" s="5"/>
      <c r="V32" s="5"/>
      <c r="W32" s="5"/>
      <c r="X32" s="5"/>
      <c r="Y32" s="5"/>
    </row>
    <row r="33" spans="1:25" ht="25.5" customHeight="1" x14ac:dyDescent="0.2">
      <c r="A33" s="82" t="s">
        <v>2006</v>
      </c>
      <c r="B33" s="683">
        <f>'Weight Calculations'!H71*9.8+'Design Conditions'!J31*'Main Dimensions Calcs'!D58*0.1*9.8*0.000001</f>
        <v>376100.40370010835</v>
      </c>
      <c r="C33" s="1053" t="s">
        <v>2007</v>
      </c>
      <c r="D33" s="809"/>
      <c r="E33" s="809"/>
      <c r="F33" s="809"/>
      <c r="G33" s="809"/>
      <c r="H33" s="809"/>
      <c r="I33" s="718" t="s">
        <v>2006</v>
      </c>
      <c r="J33" s="683">
        <f>B33*0.225</f>
        <v>84622.59083252438</v>
      </c>
      <c r="K33" s="1059" t="s">
        <v>2008</v>
      </c>
      <c r="L33" s="809"/>
      <c r="M33" s="809"/>
      <c r="N33" s="809"/>
      <c r="O33" s="809"/>
      <c r="P33" s="809"/>
      <c r="Q33" s="5"/>
      <c r="R33" s="266" t="s">
        <v>2197</v>
      </c>
      <c r="S33" s="5"/>
      <c r="T33" s="5"/>
      <c r="U33" s="5"/>
      <c r="V33" s="5"/>
      <c r="W33" s="5"/>
      <c r="X33" s="5"/>
      <c r="Y33" s="5"/>
    </row>
    <row r="34" spans="1:25" ht="12.75" customHeight="1" x14ac:dyDescent="0.2">
      <c r="A34" s="82" t="s">
        <v>2010</v>
      </c>
      <c r="B34" s="683">
        <f>'Weight Calculations'!H72*9.8</f>
        <v>144827.17402431578</v>
      </c>
      <c r="C34" s="1053" t="s">
        <v>2011</v>
      </c>
      <c r="D34" s="809"/>
      <c r="E34" s="809"/>
      <c r="F34" s="809"/>
      <c r="G34" s="809"/>
      <c r="H34" s="809"/>
      <c r="I34" s="718" t="s">
        <v>2010</v>
      </c>
      <c r="J34" s="683">
        <f>B34*0.225</f>
        <v>32586.114155471052</v>
      </c>
      <c r="K34" s="1059" t="s">
        <v>2012</v>
      </c>
      <c r="L34" s="809"/>
      <c r="M34" s="809"/>
      <c r="N34" s="809"/>
      <c r="O34" s="809"/>
      <c r="P34" s="809"/>
      <c r="Q34" s="5"/>
      <c r="R34" s="5"/>
      <c r="S34" s="5"/>
      <c r="T34" s="5"/>
      <c r="U34" s="5"/>
      <c r="V34" s="5"/>
      <c r="W34" s="5"/>
      <c r="X34" s="5"/>
      <c r="Y34" s="5"/>
    </row>
    <row r="35" spans="1:25" ht="12.75" customHeight="1" x14ac:dyDescent="0.2">
      <c r="A35" s="82" t="s">
        <v>213</v>
      </c>
      <c r="B35" s="683">
        <f>'Main Dimensions Calcs'!D51*PI()*('Main Dimensions Calcs'!D53/2000)^2*'Main Dimensions Calcs'!D11*9.8/1000</f>
        <v>11480241.274975793</v>
      </c>
      <c r="C35" s="1053" t="s">
        <v>2013</v>
      </c>
      <c r="D35" s="809"/>
      <c r="E35" s="809"/>
      <c r="F35" s="809"/>
      <c r="G35" s="809"/>
      <c r="H35" s="809"/>
      <c r="I35" s="718" t="s">
        <v>213</v>
      </c>
      <c r="J35" s="683">
        <f>B35*0.225</f>
        <v>2583054.2868695534</v>
      </c>
      <c r="K35" s="1059" t="s">
        <v>2014</v>
      </c>
      <c r="L35" s="809"/>
      <c r="M35" s="809"/>
      <c r="N35" s="809"/>
      <c r="O35" s="809"/>
      <c r="P35" s="809"/>
      <c r="Q35" s="5"/>
      <c r="R35" s="5"/>
      <c r="S35" s="5"/>
      <c r="T35" s="5"/>
      <c r="U35" s="5"/>
      <c r="V35" s="5"/>
      <c r="W35" s="5"/>
      <c r="X35" s="5"/>
      <c r="Y35" s="5"/>
    </row>
    <row r="36" spans="1:25" ht="12.75" customHeight="1" x14ac:dyDescent="0.2">
      <c r="A36" s="82" t="s">
        <v>196</v>
      </c>
      <c r="B36" s="683">
        <f>'Main Dimensions Calcs'!D53/1000</f>
        <v>20.6</v>
      </c>
      <c r="C36" s="1053" t="s">
        <v>2015</v>
      </c>
      <c r="D36" s="809"/>
      <c r="E36" s="809"/>
      <c r="F36" s="809"/>
      <c r="G36" s="809"/>
      <c r="H36" s="809"/>
      <c r="I36" s="718" t="s">
        <v>196</v>
      </c>
      <c r="J36" s="683">
        <f>B36/25.4*1000</f>
        <v>811.0236220472442</v>
      </c>
      <c r="K36" s="1059" t="s">
        <v>2016</v>
      </c>
      <c r="L36" s="809"/>
      <c r="M36" s="809"/>
      <c r="N36" s="809"/>
      <c r="O36" s="809"/>
      <c r="P36" s="809"/>
      <c r="Q36" s="5"/>
      <c r="R36" s="5"/>
      <c r="S36" s="5"/>
      <c r="T36" s="5"/>
      <c r="U36" s="5"/>
      <c r="V36" s="5"/>
      <c r="W36" s="5"/>
      <c r="X36" s="5"/>
      <c r="Y36" s="5"/>
    </row>
    <row r="37" spans="1:25" ht="12.75" customHeight="1" x14ac:dyDescent="0.2">
      <c r="A37" s="82" t="s">
        <v>911</v>
      </c>
      <c r="B37" s="683">
        <f>'Main Dimensions Calcs'!D51/1000</f>
        <v>4.3499999999999996</v>
      </c>
      <c r="C37" s="1053" t="s">
        <v>2017</v>
      </c>
      <c r="D37" s="809"/>
      <c r="E37" s="809"/>
      <c r="F37" s="809"/>
      <c r="G37" s="809"/>
      <c r="H37" s="809"/>
      <c r="I37" s="718" t="s">
        <v>911</v>
      </c>
      <c r="J37" s="683">
        <f>B37/25.4*1000</f>
        <v>171.25984251968504</v>
      </c>
      <c r="K37" s="1059" t="s">
        <v>2018</v>
      </c>
      <c r="L37" s="809"/>
      <c r="M37" s="809"/>
      <c r="N37" s="809"/>
      <c r="O37" s="809"/>
      <c r="P37" s="809"/>
      <c r="Q37" s="5"/>
      <c r="R37" s="5"/>
      <c r="S37" s="5"/>
      <c r="T37" s="5"/>
      <c r="U37" s="5"/>
      <c r="V37" s="5"/>
      <c r="W37" s="5"/>
      <c r="X37" s="5"/>
      <c r="Y37" s="5"/>
    </row>
    <row r="38" spans="1:25" ht="12.75" customHeight="1" x14ac:dyDescent="0.2">
      <c r="A38" s="82" t="s">
        <v>2019</v>
      </c>
      <c r="B38" s="683">
        <f>'Thermal calculation 2'!K79*9.8</f>
        <v>771655.50436793827</v>
      </c>
      <c r="C38" s="1053" t="s">
        <v>2020</v>
      </c>
      <c r="D38" s="809"/>
      <c r="E38" s="809"/>
      <c r="F38" s="809"/>
      <c r="G38" s="809"/>
      <c r="H38" s="809"/>
      <c r="I38" s="718" t="s">
        <v>2019</v>
      </c>
      <c r="J38" s="683">
        <f>B38*0.225</f>
        <v>173622.48848278611</v>
      </c>
      <c r="K38" s="1059" t="s">
        <v>2021</v>
      </c>
      <c r="L38" s="809"/>
      <c r="M38" s="809"/>
      <c r="N38" s="809"/>
      <c r="O38" s="809"/>
      <c r="P38" s="809"/>
      <c r="Q38" s="5"/>
      <c r="R38" s="5"/>
      <c r="S38" s="5"/>
      <c r="T38" s="5"/>
      <c r="U38" s="5"/>
      <c r="V38" s="5"/>
      <c r="W38" s="5"/>
      <c r="X38" s="5"/>
      <c r="Y38" s="5"/>
    </row>
    <row r="39" spans="1:25" ht="15.75" customHeight="1" x14ac:dyDescent="0.2">
      <c r="A39" s="82" t="s">
        <v>2022</v>
      </c>
      <c r="B39" s="719">
        <f>'Thermal calculation 2'!K82*9.8</f>
        <v>417493.01233851269</v>
      </c>
      <c r="C39" s="1053" t="s">
        <v>2023</v>
      </c>
      <c r="D39" s="809"/>
      <c r="E39" s="809"/>
      <c r="F39" s="809"/>
      <c r="G39" s="809"/>
      <c r="H39" s="809"/>
      <c r="I39" s="718" t="s">
        <v>2022</v>
      </c>
      <c r="J39" s="683">
        <f>B39*0.225</f>
        <v>93935.927776165365</v>
      </c>
      <c r="K39" s="1059" t="s">
        <v>2024</v>
      </c>
      <c r="L39" s="809"/>
      <c r="M39" s="809"/>
      <c r="N39" s="809"/>
      <c r="O39" s="809"/>
      <c r="P39" s="809"/>
      <c r="Q39" s="5"/>
      <c r="R39" s="5"/>
      <c r="S39" s="5"/>
      <c r="T39" s="5"/>
      <c r="U39" s="5"/>
      <c r="V39" s="5"/>
      <c r="W39" s="5"/>
      <c r="X39" s="5"/>
      <c r="Y39" s="5"/>
    </row>
    <row r="40" spans="1:25" ht="12.75" customHeight="1" x14ac:dyDescent="0.2">
      <c r="A40" s="82"/>
      <c r="B40" s="82"/>
      <c r="C40" s="5"/>
      <c r="D40" s="5"/>
      <c r="E40" s="5"/>
      <c r="F40" s="5"/>
      <c r="G40" s="5"/>
      <c r="H40" s="5"/>
      <c r="I40" s="82"/>
      <c r="J40" s="8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.5" customHeight="1" thickBot="1" x14ac:dyDescent="0.25">
      <c r="A41" s="82"/>
      <c r="B41" s="82"/>
      <c r="C41" s="5"/>
      <c r="D41" s="5"/>
      <c r="E41" s="5"/>
      <c r="F41" s="5"/>
      <c r="G41" s="5"/>
      <c r="H41" s="5"/>
      <c r="I41" s="82"/>
      <c r="J41" s="8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7.25" customHeight="1" thickTop="1" thickBot="1" x14ac:dyDescent="0.3">
      <c r="A42" s="28"/>
      <c r="B42" s="4"/>
      <c r="C42" s="408"/>
      <c r="D42" s="934" t="str">
        <f>'Front Page'!$A$13</f>
        <v>Mechanical  Calculations</v>
      </c>
      <c r="E42" s="842"/>
      <c r="F42" s="842"/>
      <c r="G42" s="842"/>
      <c r="H42" s="859"/>
      <c r="I42" s="28"/>
      <c r="J42" s="4"/>
      <c r="K42" s="408"/>
      <c r="L42" s="934" t="str">
        <f>'Front Page'!$A$13</f>
        <v>Mechanical  Calculations</v>
      </c>
      <c r="M42" s="842"/>
      <c r="N42" s="842"/>
      <c r="O42" s="842"/>
      <c r="P42" s="859"/>
      <c r="Q42" s="5"/>
      <c r="R42" s="5"/>
      <c r="S42" s="5"/>
      <c r="T42" s="5"/>
      <c r="U42" s="5"/>
      <c r="V42" s="5"/>
      <c r="W42" s="5"/>
      <c r="X42" s="5"/>
      <c r="Y42" s="5"/>
    </row>
    <row r="43" spans="1:25" ht="16.5" customHeight="1" thickBot="1" x14ac:dyDescent="0.3">
      <c r="A43" s="6"/>
      <c r="B43" s="5"/>
      <c r="C43" s="14"/>
      <c r="D43" s="984"/>
      <c r="E43" s="831"/>
      <c r="F43" s="831"/>
      <c r="G43" s="831"/>
      <c r="H43" s="854"/>
      <c r="I43" s="6"/>
      <c r="J43" s="5"/>
      <c r="K43" s="14"/>
      <c r="L43" s="984"/>
      <c r="M43" s="831"/>
      <c r="N43" s="831"/>
      <c r="O43" s="831"/>
      <c r="P43" s="854"/>
      <c r="Q43" s="5"/>
      <c r="R43" s="5"/>
      <c r="S43" s="5"/>
      <c r="T43" s="5"/>
      <c r="U43" s="5"/>
      <c r="V43" s="5"/>
      <c r="W43" s="5"/>
      <c r="X43" s="5"/>
      <c r="Y43" s="5"/>
    </row>
    <row r="44" spans="1:25" ht="16.5" customHeight="1" thickBot="1" x14ac:dyDescent="0.3">
      <c r="A44" s="8"/>
      <c r="B44" s="9"/>
      <c r="C44" s="409"/>
      <c r="D44" s="985" t="s">
        <v>1954</v>
      </c>
      <c r="E44" s="834"/>
      <c r="F44" s="834"/>
      <c r="G44" s="834"/>
      <c r="H44" s="986"/>
      <c r="I44" s="8"/>
      <c r="J44" s="9"/>
      <c r="K44" s="409"/>
      <c r="L44" s="985" t="s">
        <v>1954</v>
      </c>
      <c r="M44" s="834"/>
      <c r="N44" s="834"/>
      <c r="O44" s="834"/>
      <c r="P44" s="986"/>
      <c r="Q44" s="5"/>
      <c r="R44" s="5"/>
      <c r="S44" s="5"/>
      <c r="T44" s="5"/>
      <c r="U44" s="5"/>
      <c r="V44" s="5"/>
      <c r="W44" s="5"/>
      <c r="X44" s="5"/>
      <c r="Y44" s="5"/>
    </row>
    <row r="45" spans="1:25" ht="16.5" customHeight="1" thickTop="1" thickBot="1" x14ac:dyDescent="0.3">
      <c r="A45" s="873"/>
      <c r="B45" s="848"/>
      <c r="C45" s="865"/>
      <c r="D45" s="385" t="str">
        <f>'Front Page'!$D$4</f>
        <v>Doc Nº</v>
      </c>
      <c r="E45" s="980"/>
      <c r="F45" s="843"/>
      <c r="G45" s="980"/>
      <c r="H45" s="843"/>
      <c r="I45" s="873"/>
      <c r="J45" s="848"/>
      <c r="K45" s="865"/>
      <c r="L45" s="385" t="str">
        <f>'Front Page'!$D$4</f>
        <v>Doc Nº</v>
      </c>
      <c r="M45" s="980"/>
      <c r="N45" s="843"/>
      <c r="O45" s="980"/>
      <c r="P45" s="843"/>
      <c r="Q45" s="5"/>
      <c r="R45" s="5"/>
      <c r="S45" s="5"/>
      <c r="T45" s="5"/>
      <c r="U45" s="5"/>
      <c r="V45" s="5"/>
      <c r="W45" s="5"/>
      <c r="X45" s="5"/>
      <c r="Y45" s="5"/>
    </row>
    <row r="46" spans="1:25" ht="15.75" customHeight="1" thickBot="1" x14ac:dyDescent="0.3">
      <c r="A46" s="860"/>
      <c r="B46" s="851"/>
      <c r="C46" s="861"/>
      <c r="D46" s="386" t="str">
        <f>'Front Page'!$D$5</f>
        <v>Project</v>
      </c>
      <c r="E46" s="899"/>
      <c r="F46" s="835"/>
      <c r="G46" s="131" t="s">
        <v>5</v>
      </c>
      <c r="H46" s="132"/>
      <c r="I46" s="860"/>
      <c r="J46" s="851"/>
      <c r="K46" s="861"/>
      <c r="L46" s="386" t="str">
        <f>'Front Page'!$D$5</f>
        <v>Project</v>
      </c>
      <c r="M46" s="899"/>
      <c r="N46" s="835"/>
      <c r="O46" s="131" t="s">
        <v>5</v>
      </c>
      <c r="P46" s="427"/>
      <c r="Q46" s="5"/>
      <c r="R46" s="5"/>
      <c r="S46" s="5"/>
      <c r="T46" s="5"/>
      <c r="U46" s="5"/>
      <c r="V46" s="5"/>
      <c r="W46" s="5"/>
      <c r="X46" s="5"/>
      <c r="Y46" s="5"/>
    </row>
    <row r="47" spans="1:25" ht="13.5" customHeight="1" thickTop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2.75" customHeight="1" x14ac:dyDescent="0.2">
      <c r="A48" s="5" t="s">
        <v>2025</v>
      </c>
      <c r="B48" s="265">
        <f>B31*(1-0.4*B9)</f>
        <v>0.64829826133333335</v>
      </c>
      <c r="C48" s="982" t="s">
        <v>2026</v>
      </c>
      <c r="D48" s="809"/>
      <c r="E48" s="809"/>
      <c r="F48" s="809"/>
      <c r="G48" s="809"/>
      <c r="H48" s="809"/>
      <c r="I48" s="226" t="s">
        <v>2025</v>
      </c>
      <c r="J48" s="346">
        <f>J31*(1-0.4*J9)</f>
        <v>0.64829826133333335</v>
      </c>
      <c r="K48" s="982" t="s">
        <v>2026</v>
      </c>
      <c r="L48" s="809"/>
      <c r="M48" s="809"/>
      <c r="N48" s="809"/>
      <c r="O48" s="809"/>
      <c r="P48" s="809"/>
      <c r="Q48" s="5"/>
      <c r="R48" s="5"/>
      <c r="S48" s="5"/>
      <c r="T48" s="5"/>
      <c r="U48" s="5"/>
      <c r="V48" s="5"/>
      <c r="W48" s="5"/>
      <c r="X48" s="5"/>
      <c r="Y48" s="5"/>
    </row>
    <row r="49" spans="1:25" x14ac:dyDescent="0.2">
      <c r="A49" s="5"/>
      <c r="B49" s="265"/>
      <c r="C49" s="809"/>
      <c r="D49" s="809"/>
      <c r="E49" s="809"/>
      <c r="F49" s="809"/>
      <c r="G49" s="809"/>
      <c r="H49" s="809"/>
      <c r="I49" s="226"/>
      <c r="J49" s="265"/>
      <c r="K49" s="809"/>
      <c r="L49" s="809"/>
      <c r="M49" s="809"/>
      <c r="N49" s="809"/>
      <c r="O49" s="809"/>
      <c r="P49" s="809"/>
      <c r="Q49" s="5"/>
      <c r="R49" s="5"/>
      <c r="S49" s="5"/>
      <c r="T49" s="5"/>
      <c r="U49" s="5"/>
      <c r="V49" s="5"/>
      <c r="W49" s="5"/>
      <c r="X49" s="5"/>
      <c r="Y49" s="5"/>
    </row>
    <row r="50" spans="1:25" ht="27" customHeight="1" x14ac:dyDescent="0.2">
      <c r="A50" s="82" t="s">
        <v>2027</v>
      </c>
      <c r="B50" s="686">
        <f>B32/(PI()*B36)+B29+B39/(PI()*B36)</f>
        <v>17858.531759418234</v>
      </c>
      <c r="C50" s="982" t="s">
        <v>2028</v>
      </c>
      <c r="D50" s="809"/>
      <c r="E50" s="809"/>
      <c r="F50" s="809"/>
      <c r="G50" s="809"/>
      <c r="H50" s="809"/>
      <c r="I50" s="718" t="s">
        <v>2027</v>
      </c>
      <c r="J50" s="686">
        <f>B50</f>
        <v>17858.531759418234</v>
      </c>
      <c r="K50" s="982" t="s">
        <v>2028</v>
      </c>
      <c r="L50" s="809"/>
      <c r="M50" s="809"/>
      <c r="N50" s="809"/>
      <c r="O50" s="809"/>
      <c r="P50" s="809"/>
      <c r="Q50" s="5"/>
      <c r="R50" s="5"/>
      <c r="S50" s="5"/>
      <c r="T50" s="5"/>
      <c r="U50" s="5"/>
      <c r="V50" s="5"/>
      <c r="W50" s="5"/>
      <c r="X50" s="5"/>
      <c r="Y50" s="5"/>
    </row>
    <row r="51" spans="1:25" ht="40.5" customHeight="1" x14ac:dyDescent="0.2">
      <c r="A51" s="5"/>
      <c r="B51" s="5"/>
      <c r="C51" s="5"/>
      <c r="D51" s="5"/>
      <c r="E51" s="5"/>
      <c r="F51" s="5"/>
      <c r="G51" s="5"/>
      <c r="H51" s="5"/>
      <c r="I51" s="226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5" t="s">
        <v>1070</v>
      </c>
      <c r="B52" s="216">
        <v>0.38</v>
      </c>
      <c r="C52" s="5" t="s">
        <v>2029</v>
      </c>
      <c r="D52" s="5"/>
      <c r="E52" s="5"/>
      <c r="F52" s="5"/>
      <c r="G52" s="5"/>
      <c r="H52" s="5"/>
      <c r="I52" s="226" t="s">
        <v>1070</v>
      </c>
      <c r="J52" s="216">
        <v>0.38</v>
      </c>
      <c r="K52" s="5" t="s">
        <v>2029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7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40.5" customHeight="1" x14ac:dyDescent="0.3">
      <c r="A54" s="1063" t="s">
        <v>2030</v>
      </c>
      <c r="B54" s="809"/>
      <c r="C54" s="809"/>
      <c r="D54" s="809"/>
      <c r="E54" s="809"/>
      <c r="F54" s="809"/>
      <c r="G54" s="809"/>
      <c r="H54" s="809"/>
      <c r="I54" s="1063" t="s">
        <v>2030</v>
      </c>
      <c r="J54" s="809"/>
      <c r="K54" s="809"/>
      <c r="L54" s="809"/>
      <c r="M54" s="809"/>
      <c r="N54" s="809"/>
      <c r="O54" s="809"/>
      <c r="P54" s="809"/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28.5" customHeight="1" x14ac:dyDescent="0.2">
      <c r="A56" s="82" t="s">
        <v>2031</v>
      </c>
      <c r="B56" s="686">
        <f>B12*B15/B16</f>
        <v>0.75095238095238082</v>
      </c>
      <c r="C56" s="1054" t="s">
        <v>2033</v>
      </c>
      <c r="D56" s="809"/>
      <c r="E56" s="809"/>
      <c r="F56" s="809"/>
      <c r="G56" s="809"/>
      <c r="H56" s="809"/>
      <c r="I56" s="718" t="s">
        <v>2031</v>
      </c>
      <c r="J56" s="686">
        <f t="shared" ref="J56:J63" si="1">B56</f>
        <v>0.75095238095238082</v>
      </c>
      <c r="K56" s="1054" t="s">
        <v>2033</v>
      </c>
      <c r="L56" s="809"/>
      <c r="M56" s="809"/>
      <c r="N56" s="809"/>
      <c r="O56" s="809"/>
      <c r="P56" s="809"/>
      <c r="Q56" s="5"/>
      <c r="R56" s="5"/>
      <c r="S56" s="5"/>
      <c r="T56" s="5"/>
      <c r="U56" s="5"/>
      <c r="V56" s="5"/>
      <c r="W56" s="5"/>
      <c r="X56" s="5"/>
      <c r="Y56" s="5"/>
    </row>
    <row r="57" spans="1:25" ht="27" customHeight="1" x14ac:dyDescent="0.2">
      <c r="A57" s="82" t="s">
        <v>1349</v>
      </c>
      <c r="B57" s="686">
        <f>IF(B62&lt;B11,B60*B13*B15/(B62*B17),B60*B13*B15*B11/(B62^2*B17))</f>
        <v>8.7006266035795282E-2</v>
      </c>
      <c r="C57" s="1054" t="s">
        <v>2035</v>
      </c>
      <c r="D57" s="809"/>
      <c r="E57" s="809"/>
      <c r="F57" s="809"/>
      <c r="G57" s="809"/>
      <c r="H57" s="809"/>
      <c r="I57" s="718" t="s">
        <v>1349</v>
      </c>
      <c r="J57" s="686">
        <f t="shared" si="1"/>
        <v>8.7006266035795282E-2</v>
      </c>
      <c r="K57" s="1054" t="s">
        <v>2035</v>
      </c>
      <c r="L57" s="809"/>
      <c r="M57" s="809"/>
      <c r="N57" s="809"/>
      <c r="O57" s="809"/>
      <c r="P57" s="809"/>
      <c r="Q57" s="5"/>
      <c r="R57" s="5"/>
      <c r="S57" s="5"/>
      <c r="T57" s="5"/>
      <c r="U57" s="5"/>
      <c r="V57" s="5"/>
      <c r="W57" s="5"/>
      <c r="X57" s="5"/>
      <c r="Y57" s="5"/>
    </row>
    <row r="58" spans="1:25" ht="12.75" customHeight="1" x14ac:dyDescent="0.2">
      <c r="A58" s="82" t="s">
        <v>2036</v>
      </c>
      <c r="B58" s="686">
        <f>IF(B62&lt;B11,B60*B61*B15/B62,B60*B61*B15*4/B62^2)</f>
        <v>8.7006266035795282E-2</v>
      </c>
      <c r="C58" s="1054" t="s">
        <v>2037</v>
      </c>
      <c r="D58" s="809"/>
      <c r="E58" s="809"/>
      <c r="F58" s="809"/>
      <c r="G58" s="809"/>
      <c r="H58" s="809"/>
      <c r="I58" s="718" t="s">
        <v>2036</v>
      </c>
      <c r="J58" s="686">
        <f t="shared" si="1"/>
        <v>8.7006266035795282E-2</v>
      </c>
      <c r="K58" s="1054" t="s">
        <v>2037</v>
      </c>
      <c r="L58" s="809"/>
      <c r="M58" s="809"/>
      <c r="N58" s="809"/>
      <c r="O58" s="809"/>
      <c r="P58" s="809"/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82"/>
      <c r="B59" s="686"/>
      <c r="C59" s="809"/>
      <c r="D59" s="809"/>
      <c r="E59" s="809"/>
      <c r="F59" s="809"/>
      <c r="G59" s="809"/>
      <c r="H59" s="809"/>
      <c r="I59" s="718"/>
      <c r="J59" s="686">
        <f t="shared" si="1"/>
        <v>0</v>
      </c>
      <c r="K59" s="809"/>
      <c r="L59" s="809"/>
      <c r="M59" s="809"/>
      <c r="N59" s="809"/>
      <c r="O59" s="809"/>
      <c r="P59" s="809"/>
      <c r="Q59" s="5"/>
      <c r="R59" s="5"/>
      <c r="S59" s="5"/>
      <c r="T59" s="5"/>
      <c r="U59" s="5"/>
      <c r="V59" s="5"/>
      <c r="W59" s="5"/>
      <c r="X59" s="5"/>
      <c r="Y59" s="5"/>
    </row>
    <row r="60" spans="1:25" ht="27.75" customHeight="1" x14ac:dyDescent="0.2">
      <c r="A60" s="82" t="s">
        <v>1068</v>
      </c>
      <c r="B60" s="686">
        <v>1.5</v>
      </c>
      <c r="C60" s="1054" t="s">
        <v>2038</v>
      </c>
      <c r="D60" s="809"/>
      <c r="E60" s="809"/>
      <c r="F60" s="809"/>
      <c r="G60" s="809"/>
      <c r="H60" s="809"/>
      <c r="I60" s="718" t="s">
        <v>1068</v>
      </c>
      <c r="J60" s="686">
        <f t="shared" si="1"/>
        <v>1.5</v>
      </c>
      <c r="K60" s="1054" t="s">
        <v>2038</v>
      </c>
      <c r="L60" s="809"/>
      <c r="M60" s="809"/>
      <c r="N60" s="809"/>
      <c r="O60" s="809"/>
      <c r="P60" s="809"/>
      <c r="Q60" s="5"/>
      <c r="R60" s="5"/>
      <c r="S60" s="5"/>
      <c r="T60" s="5"/>
      <c r="U60" s="5"/>
      <c r="V60" s="5"/>
      <c r="W60" s="5"/>
      <c r="X60" s="5"/>
      <c r="Y60" s="5"/>
    </row>
    <row r="61" spans="1:25" ht="25.5" customHeight="1" x14ac:dyDescent="0.2">
      <c r="A61" s="82" t="s">
        <v>1967</v>
      </c>
      <c r="B61" s="686">
        <f>B13</f>
        <v>0.39733333333333332</v>
      </c>
      <c r="C61" s="1054" t="s">
        <v>2039</v>
      </c>
      <c r="D61" s="809"/>
      <c r="E61" s="809"/>
      <c r="F61" s="809"/>
      <c r="G61" s="809"/>
      <c r="H61" s="809"/>
      <c r="I61" s="718" t="s">
        <v>1967</v>
      </c>
      <c r="J61" s="686">
        <f t="shared" si="1"/>
        <v>0.39733333333333332</v>
      </c>
      <c r="K61" s="1054" t="s">
        <v>2039</v>
      </c>
      <c r="L61" s="809"/>
      <c r="M61" s="809"/>
      <c r="N61" s="809"/>
      <c r="O61" s="809"/>
      <c r="P61" s="809"/>
      <c r="Q61" s="5"/>
      <c r="R61" s="5"/>
      <c r="S61" s="5"/>
      <c r="T61" s="5"/>
      <c r="U61" s="5"/>
      <c r="V61" s="5"/>
      <c r="W61" s="5"/>
      <c r="X61" s="5"/>
      <c r="Y61" s="5"/>
    </row>
    <row r="62" spans="1:25" ht="29.25" customHeight="1" x14ac:dyDescent="0.2">
      <c r="A62" s="82" t="s">
        <v>2040</v>
      </c>
      <c r="B62" s="686">
        <f>1.8*B63*B36^0.5</f>
        <v>5.8523847047571982</v>
      </c>
      <c r="C62" s="1054" t="s">
        <v>2041</v>
      </c>
      <c r="D62" s="809"/>
      <c r="E62" s="809"/>
      <c r="F62" s="809"/>
      <c r="G62" s="809"/>
      <c r="H62" s="809"/>
      <c r="I62" s="718" t="s">
        <v>2040</v>
      </c>
      <c r="J62" s="686">
        <f t="shared" si="1"/>
        <v>5.8523847047571982</v>
      </c>
      <c r="K62" s="1054" t="s">
        <v>2041</v>
      </c>
      <c r="L62" s="809"/>
      <c r="M62" s="809"/>
      <c r="N62" s="809"/>
      <c r="O62" s="809"/>
      <c r="P62" s="809"/>
      <c r="Q62" s="5"/>
      <c r="R62" s="5"/>
      <c r="S62" s="5"/>
      <c r="T62" s="5"/>
      <c r="U62" s="5"/>
      <c r="V62" s="5"/>
      <c r="W62" s="5"/>
      <c r="X62" s="5"/>
      <c r="Y62" s="5"/>
    </row>
    <row r="63" spans="1:25" ht="17.25" customHeight="1" x14ac:dyDescent="0.2">
      <c r="A63" s="82" t="s">
        <v>2042</v>
      </c>
      <c r="B63" s="686">
        <f>0.578/(TANH(3.68*B37/B36))^0.5</f>
        <v>0.71635245125511615</v>
      </c>
      <c r="C63" s="5"/>
      <c r="D63" s="5"/>
      <c r="E63" s="5"/>
      <c r="F63" s="5"/>
      <c r="G63" s="5"/>
      <c r="H63" s="5"/>
      <c r="I63" s="718" t="s">
        <v>2042</v>
      </c>
      <c r="J63" s="686">
        <f t="shared" si="1"/>
        <v>0.71635245125511615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0.25" customHeight="1" x14ac:dyDescent="0.3">
      <c r="A67" s="63" t="s">
        <v>2198</v>
      </c>
      <c r="B67" s="5"/>
      <c r="C67" s="5"/>
      <c r="D67" s="5"/>
      <c r="E67" s="5"/>
      <c r="F67" s="5"/>
      <c r="G67" s="5"/>
      <c r="H67" s="5"/>
      <c r="I67" s="63" t="s">
        <v>2198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2.75" customHeight="1" x14ac:dyDescent="0.2">
      <c r="A69" s="5" t="s">
        <v>2044</v>
      </c>
      <c r="B69" s="265">
        <f>B35*(1-0.218*B36/B37)</f>
        <v>-371590.33827967657</v>
      </c>
      <c r="C69" s="1054" t="s">
        <v>2045</v>
      </c>
      <c r="D69" s="809"/>
      <c r="E69" s="809"/>
      <c r="F69" s="809"/>
      <c r="G69" s="809"/>
      <c r="H69" s="809"/>
      <c r="I69" s="226" t="s">
        <v>2044</v>
      </c>
      <c r="J69" s="265">
        <f>B69*0.225</f>
        <v>-83607.826112927229</v>
      </c>
      <c r="K69" s="901" t="s">
        <v>2046</v>
      </c>
      <c r="L69" s="809"/>
      <c r="M69" s="809"/>
      <c r="N69" s="809"/>
      <c r="O69" s="809"/>
      <c r="P69" s="809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2">
      <c r="A70" s="5"/>
      <c r="B70" s="265"/>
      <c r="C70" s="809"/>
      <c r="D70" s="809"/>
      <c r="E70" s="809"/>
      <c r="F70" s="809"/>
      <c r="G70" s="809"/>
      <c r="H70" s="809"/>
      <c r="I70" s="226"/>
      <c r="J70" s="265"/>
      <c r="K70" s="809"/>
      <c r="L70" s="809"/>
      <c r="M70" s="809"/>
      <c r="N70" s="809"/>
      <c r="O70" s="809"/>
      <c r="P70" s="809"/>
      <c r="Q70" s="5"/>
      <c r="R70" s="5"/>
      <c r="S70" s="5"/>
      <c r="T70" s="5"/>
      <c r="U70" s="5"/>
      <c r="V70" s="5"/>
      <c r="W70" s="5"/>
      <c r="X70" s="5"/>
      <c r="Y70" s="5"/>
    </row>
    <row r="71" spans="1:25" ht="27" customHeight="1" x14ac:dyDescent="0.2">
      <c r="A71" s="5" t="s">
        <v>1314</v>
      </c>
      <c r="B71" s="265">
        <f>(0.23*B36/B37*TANH(3.67*B37/B36))*B35</f>
        <v>8125414.1334028943</v>
      </c>
      <c r="C71" s="1054" t="s">
        <v>2047</v>
      </c>
      <c r="D71" s="809"/>
      <c r="E71" s="809"/>
      <c r="F71" s="809"/>
      <c r="G71" s="809"/>
      <c r="H71" s="809"/>
      <c r="I71" s="226" t="s">
        <v>1314</v>
      </c>
      <c r="J71" s="265">
        <f>B71*0.225</f>
        <v>1828218.1800156513</v>
      </c>
      <c r="K71" s="901" t="s">
        <v>2048</v>
      </c>
      <c r="L71" s="809"/>
      <c r="M71" s="809"/>
      <c r="N71" s="809"/>
      <c r="O71" s="809"/>
      <c r="P71" s="809"/>
      <c r="Q71" s="5"/>
      <c r="R71" s="5"/>
      <c r="S71" s="5"/>
      <c r="T71" s="5"/>
      <c r="U71" s="5"/>
      <c r="V71" s="5"/>
      <c r="W71" s="5"/>
      <c r="X71" s="5"/>
      <c r="Y71" s="5"/>
    </row>
    <row r="72" spans="1:25" ht="27" customHeight="1" x14ac:dyDescent="0.2">
      <c r="A72" s="5"/>
      <c r="B72" s="265"/>
      <c r="C72" s="388"/>
      <c r="D72" s="388"/>
      <c r="E72" s="388"/>
      <c r="F72" s="388"/>
      <c r="G72" s="388"/>
      <c r="H72" s="388"/>
      <c r="I72" s="226"/>
      <c r="J72" s="265"/>
      <c r="K72" s="388"/>
      <c r="L72" s="388"/>
      <c r="M72" s="388"/>
      <c r="N72" s="388"/>
      <c r="O72" s="388"/>
      <c r="P72" s="388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2">
      <c r="A73" s="5" t="s">
        <v>735</v>
      </c>
      <c r="B73" s="265">
        <f>(B74^2+B75^2)^0.5</f>
        <v>1095749.9435970515</v>
      </c>
      <c r="C73" s="1054" t="s">
        <v>2049</v>
      </c>
      <c r="D73" s="809"/>
      <c r="E73" s="809"/>
      <c r="F73" s="809"/>
      <c r="G73" s="809"/>
      <c r="H73" s="809"/>
      <c r="I73" s="226" t="s">
        <v>735</v>
      </c>
      <c r="J73" s="265">
        <f>B73*0.225</f>
        <v>246543.7373093366</v>
      </c>
      <c r="K73" s="901" t="s">
        <v>2050</v>
      </c>
      <c r="L73" s="809"/>
      <c r="M73" s="809"/>
      <c r="N73" s="809"/>
      <c r="O73" s="809"/>
      <c r="P73" s="809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">
      <c r="A74" s="5" t="s">
        <v>2051</v>
      </c>
      <c r="B74" s="265">
        <f>B56*(B32+B33+B34+B69+B38/2+B39/2)</f>
        <v>837181.43134786992</v>
      </c>
      <c r="C74" s="1054" t="s">
        <v>2052</v>
      </c>
      <c r="D74" s="809"/>
      <c r="E74" s="809"/>
      <c r="F74" s="809"/>
      <c r="G74" s="809"/>
      <c r="H74" s="809"/>
      <c r="I74" s="226" t="s">
        <v>2051</v>
      </c>
      <c r="J74" s="265">
        <f>B74*0.225</f>
        <v>188365.82205327073</v>
      </c>
      <c r="K74" s="901" t="s">
        <v>2053</v>
      </c>
      <c r="L74" s="809"/>
      <c r="M74" s="809"/>
      <c r="N74" s="809"/>
      <c r="O74" s="809"/>
      <c r="P74" s="809"/>
      <c r="Q74" s="5"/>
      <c r="R74" s="5"/>
      <c r="S74" s="5"/>
      <c r="T74" s="5"/>
      <c r="U74" s="5"/>
      <c r="V74" s="5"/>
      <c r="W74" s="5"/>
      <c r="X74" s="5"/>
      <c r="Y74" s="5"/>
    </row>
    <row r="75" spans="1:25" ht="25.5" customHeight="1" x14ac:dyDescent="0.2">
      <c r="A75" s="5" t="s">
        <v>2054</v>
      </c>
      <c r="B75" s="265">
        <f>B57*B71</f>
        <v>706961.94374186324</v>
      </c>
      <c r="C75" s="1054" t="s">
        <v>2055</v>
      </c>
      <c r="D75" s="809"/>
      <c r="E75" s="809"/>
      <c r="F75" s="809"/>
      <c r="G75" s="809"/>
      <c r="H75" s="809"/>
      <c r="I75" s="226" t="s">
        <v>2054</v>
      </c>
      <c r="J75" s="265">
        <f>B75*0.225</f>
        <v>159066.43734191923</v>
      </c>
      <c r="K75" s="901" t="s">
        <v>2056</v>
      </c>
      <c r="L75" s="809"/>
      <c r="M75" s="809"/>
      <c r="N75" s="809"/>
      <c r="O75" s="809"/>
      <c r="P75" s="809"/>
      <c r="Q75" s="5"/>
      <c r="R75" s="5"/>
      <c r="S75" s="5"/>
      <c r="T75" s="5"/>
      <c r="U75" s="5"/>
      <c r="V75" s="5"/>
      <c r="W75" s="5"/>
      <c r="X75" s="5"/>
      <c r="Y75" s="5"/>
    </row>
    <row r="76" spans="1:25" ht="23.45" customHeight="1" x14ac:dyDescent="0.2">
      <c r="A76" s="5"/>
      <c r="B76" s="265"/>
      <c r="C76" s="388"/>
      <c r="D76" s="388"/>
      <c r="E76" s="388"/>
      <c r="F76" s="388"/>
      <c r="G76" s="388"/>
      <c r="H76" s="388"/>
      <c r="I76" s="226"/>
      <c r="J76" s="265"/>
      <c r="K76" s="388"/>
      <c r="L76" s="388"/>
      <c r="M76" s="388"/>
      <c r="N76" s="388"/>
      <c r="O76" s="388"/>
      <c r="P76" s="388"/>
      <c r="Q76" s="5"/>
      <c r="R76" s="5"/>
      <c r="S76" s="5"/>
      <c r="T76" s="5"/>
      <c r="U76" s="5"/>
      <c r="V76" s="5"/>
      <c r="W76" s="5"/>
      <c r="X76" s="5"/>
      <c r="Y76" s="5"/>
    </row>
    <row r="77" spans="1:25" ht="12.6" hidden="1" customHeight="1" x14ac:dyDescent="0.2">
      <c r="A77" s="5" t="s">
        <v>2057</v>
      </c>
      <c r="B77" s="265">
        <f>2*B73/(B36*PI())</f>
        <v>33862.916488570147</v>
      </c>
      <c r="C77" s="982" t="s">
        <v>2058</v>
      </c>
      <c r="D77" s="809"/>
      <c r="E77" s="809"/>
      <c r="F77" s="809"/>
      <c r="G77" s="809"/>
      <c r="H77" s="809"/>
      <c r="I77" s="226" t="s">
        <v>2057</v>
      </c>
      <c r="J77" s="686">
        <f>B77</f>
        <v>33862.916488570147</v>
      </c>
      <c r="K77" s="982" t="s">
        <v>2058</v>
      </c>
      <c r="L77" s="809"/>
      <c r="M77" s="809"/>
      <c r="N77" s="809"/>
      <c r="O77" s="809"/>
      <c r="P77" s="809"/>
      <c r="Q77" s="5"/>
      <c r="R77" s="5"/>
      <c r="S77" s="5"/>
      <c r="T77" s="5"/>
      <c r="U77" s="5"/>
      <c r="V77" s="5"/>
      <c r="W77" s="5"/>
      <c r="X77" s="5"/>
      <c r="Y77" s="5"/>
    </row>
    <row r="78" spans="1:25" ht="1.35" customHeight="1" x14ac:dyDescent="0.2">
      <c r="A78" s="5"/>
      <c r="B78" s="265"/>
      <c r="C78" s="809"/>
      <c r="D78" s="809"/>
      <c r="E78" s="809"/>
      <c r="F78" s="809"/>
      <c r="G78" s="809"/>
      <c r="H78" s="809"/>
      <c r="I78" s="226"/>
      <c r="J78" s="265"/>
      <c r="K78" s="809"/>
      <c r="L78" s="809"/>
      <c r="M78" s="809"/>
      <c r="N78" s="809"/>
      <c r="O78" s="809"/>
      <c r="P78" s="809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">
      <c r="A79" s="5" t="s">
        <v>2059</v>
      </c>
      <c r="B79" s="265">
        <f>B52*(B32+B33+B35+B34)*(1-0.4*B9)</f>
        <v>3772158.5541405524</v>
      </c>
      <c r="C79" s="1054" t="s">
        <v>2060</v>
      </c>
      <c r="D79" s="809"/>
      <c r="E79" s="809"/>
      <c r="F79" s="809"/>
      <c r="G79" s="809"/>
      <c r="H79" s="809"/>
      <c r="I79" s="226" t="s">
        <v>2059</v>
      </c>
      <c r="J79" s="265">
        <f>B79*0.225</f>
        <v>848735.67468162428</v>
      </c>
      <c r="K79" s="901" t="s">
        <v>2061</v>
      </c>
      <c r="L79" s="809"/>
      <c r="M79" s="809"/>
      <c r="N79" s="809"/>
      <c r="O79" s="809"/>
      <c r="P79" s="809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">
      <c r="A80" s="5"/>
      <c r="B80" s="265"/>
      <c r="C80" s="5"/>
      <c r="D80" s="5"/>
      <c r="E80" s="5"/>
      <c r="F80" s="5"/>
      <c r="G80" s="5"/>
      <c r="H80" s="5"/>
      <c r="I80" s="226"/>
      <c r="J80" s="26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x14ac:dyDescent="0.2">
      <c r="A81" s="117" t="s">
        <v>2062</v>
      </c>
      <c r="B81" s="689">
        <f>B79/B73</f>
        <v>3.4425359327490113</v>
      </c>
      <c r="C81" s="690" t="str">
        <f>IF(B81&gt;1,"OK","ERROR")</f>
        <v>OK</v>
      </c>
      <c r="D81" s="5"/>
      <c r="E81" s="5"/>
      <c r="F81" s="5"/>
      <c r="G81" s="5"/>
      <c r="H81" s="5"/>
      <c r="I81" s="341" t="s">
        <v>2199</v>
      </c>
      <c r="J81" s="689">
        <f>J79/J73</f>
        <v>3.4425359327490113</v>
      </c>
      <c r="K81" s="690" t="str">
        <f>IF(J81&gt;1,"OK","ERROR")</f>
        <v>OK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">
      <c r="A82" s="5"/>
      <c r="B82" s="265"/>
      <c r="C82" s="5"/>
      <c r="D82" s="5"/>
      <c r="E82" s="5"/>
      <c r="F82" s="5"/>
      <c r="G82" s="5"/>
      <c r="H82" s="5"/>
      <c r="I82" s="226"/>
      <c r="J82" s="26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x14ac:dyDescent="0.2">
      <c r="A83" s="5" t="s">
        <v>2063</v>
      </c>
      <c r="B83" s="265">
        <f>B77/(B30*1000)</f>
        <v>4.2328645610712687</v>
      </c>
      <c r="C83" s="5" t="s">
        <v>2064</v>
      </c>
      <c r="D83" s="5"/>
      <c r="E83" s="5"/>
      <c r="F83" s="5"/>
      <c r="G83" s="5"/>
      <c r="H83" s="5"/>
      <c r="I83" s="226" t="s">
        <v>2063</v>
      </c>
      <c r="J83" s="265">
        <f>B83*145.04</f>
        <v>613.93467593777677</v>
      </c>
      <c r="K83" s="64" t="s">
        <v>2065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3.5" customHeight="1" thickBo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7.25" customHeight="1" thickTop="1" thickBot="1" x14ac:dyDescent="0.3">
      <c r="A86" s="28"/>
      <c r="B86" s="4"/>
      <c r="C86" s="408"/>
      <c r="D86" s="934" t="str">
        <f>'Front Page'!$A$13</f>
        <v>Mechanical  Calculations</v>
      </c>
      <c r="E86" s="842"/>
      <c r="F86" s="842"/>
      <c r="G86" s="842"/>
      <c r="H86" s="859"/>
      <c r="I86" s="28"/>
      <c r="J86" s="4"/>
      <c r="K86" s="408"/>
      <c r="L86" s="934" t="str">
        <f>'Front Page'!$A$13</f>
        <v>Mechanical  Calculations</v>
      </c>
      <c r="M86" s="842"/>
      <c r="N86" s="842"/>
      <c r="O86" s="842"/>
      <c r="P86" s="859"/>
      <c r="Q86" s="5"/>
      <c r="R86" s="5"/>
      <c r="S86" s="5"/>
      <c r="T86" s="5"/>
      <c r="U86" s="5"/>
      <c r="V86" s="5"/>
      <c r="W86" s="5"/>
      <c r="X86" s="5"/>
      <c r="Y86" s="5"/>
    </row>
    <row r="87" spans="1:25" ht="16.5" customHeight="1" thickBot="1" x14ac:dyDescent="0.3">
      <c r="A87" s="6"/>
      <c r="B87" s="5"/>
      <c r="C87" s="14"/>
      <c r="D87" s="984"/>
      <c r="E87" s="831"/>
      <c r="F87" s="831"/>
      <c r="G87" s="831"/>
      <c r="H87" s="854"/>
      <c r="I87" s="6"/>
      <c r="J87" s="5"/>
      <c r="K87" s="14"/>
      <c r="L87" s="984"/>
      <c r="M87" s="831"/>
      <c r="N87" s="831"/>
      <c r="O87" s="831"/>
      <c r="P87" s="854"/>
      <c r="Q87" s="5"/>
      <c r="R87" s="5"/>
      <c r="S87" s="5"/>
      <c r="T87" s="5"/>
      <c r="U87" s="5"/>
      <c r="V87" s="5"/>
      <c r="W87" s="5"/>
      <c r="X87" s="5"/>
      <c r="Y87" s="5"/>
    </row>
    <row r="88" spans="1:25" ht="16.5" customHeight="1" thickBot="1" x14ac:dyDescent="0.3">
      <c r="A88" s="8"/>
      <c r="B88" s="9"/>
      <c r="C88" s="409"/>
      <c r="D88" s="985" t="s">
        <v>1954</v>
      </c>
      <c r="E88" s="834"/>
      <c r="F88" s="834"/>
      <c r="G88" s="834"/>
      <c r="H88" s="986"/>
      <c r="I88" s="8"/>
      <c r="J88" s="9"/>
      <c r="K88" s="409"/>
      <c r="L88" s="985" t="s">
        <v>1954</v>
      </c>
      <c r="M88" s="834"/>
      <c r="N88" s="834"/>
      <c r="O88" s="834"/>
      <c r="P88" s="986"/>
      <c r="Q88" s="5"/>
      <c r="R88" s="5"/>
      <c r="S88" s="5"/>
      <c r="T88" s="5"/>
      <c r="U88" s="5"/>
      <c r="V88" s="5"/>
      <c r="W88" s="5"/>
      <c r="X88" s="5"/>
      <c r="Y88" s="5"/>
    </row>
    <row r="89" spans="1:25" ht="16.5" customHeight="1" thickTop="1" thickBot="1" x14ac:dyDescent="0.3">
      <c r="A89" s="873"/>
      <c r="B89" s="848"/>
      <c r="C89" s="865"/>
      <c r="D89" s="385" t="str">
        <f>'Front Page'!$D$4</f>
        <v>Doc Nº</v>
      </c>
      <c r="E89" s="980"/>
      <c r="F89" s="843"/>
      <c r="G89" s="980"/>
      <c r="H89" s="843"/>
      <c r="I89" s="873"/>
      <c r="J89" s="848"/>
      <c r="K89" s="865"/>
      <c r="L89" s="385" t="str">
        <f>'Front Page'!$D$4</f>
        <v>Doc Nº</v>
      </c>
      <c r="M89" s="980"/>
      <c r="N89" s="843"/>
      <c r="O89" s="980"/>
      <c r="P89" s="843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 thickBot="1" x14ac:dyDescent="0.3">
      <c r="A90" s="860"/>
      <c r="B90" s="851"/>
      <c r="C90" s="861"/>
      <c r="D90" s="386" t="str">
        <f>'Front Page'!$D$5</f>
        <v>Project</v>
      </c>
      <c r="E90" s="899"/>
      <c r="F90" s="835"/>
      <c r="G90" s="131" t="s">
        <v>5</v>
      </c>
      <c r="H90" s="132"/>
      <c r="I90" s="860"/>
      <c r="J90" s="851"/>
      <c r="K90" s="861"/>
      <c r="L90" s="386" t="str">
        <f>'Front Page'!$D$5</f>
        <v>Project</v>
      </c>
      <c r="M90" s="899"/>
      <c r="N90" s="835"/>
      <c r="O90" s="131" t="s">
        <v>5</v>
      </c>
      <c r="P90" s="427"/>
      <c r="Q90" s="5"/>
      <c r="R90" s="5"/>
      <c r="S90" s="5"/>
      <c r="T90" s="5"/>
      <c r="U90" s="5"/>
      <c r="V90" s="5"/>
      <c r="W90" s="5"/>
      <c r="X90" s="5"/>
      <c r="Y90" s="5"/>
    </row>
    <row r="91" spans="1:25" ht="13.5" customHeight="1" thickTop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20.25" customHeight="1" x14ac:dyDescent="0.3">
      <c r="A94" s="63" t="s">
        <v>2066</v>
      </c>
      <c r="B94" s="5"/>
      <c r="C94" s="5"/>
      <c r="D94" s="5"/>
      <c r="E94" s="5"/>
      <c r="F94" s="5"/>
      <c r="G94" s="5"/>
      <c r="H94" s="5"/>
      <c r="I94" s="63" t="s">
        <v>2066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 t="s">
        <v>2067</v>
      </c>
      <c r="S95" s="5"/>
      <c r="T95" s="5"/>
      <c r="U95" s="5"/>
      <c r="V95" s="5"/>
      <c r="W95" s="5"/>
      <c r="X95" s="5"/>
      <c r="Y95" s="5"/>
    </row>
    <row r="96" spans="1:25" ht="45.75" customHeight="1" x14ac:dyDescent="0.2">
      <c r="A96" s="82" t="s">
        <v>2068</v>
      </c>
      <c r="B96" s="691">
        <f>(0.5-0.094*B36/B37)*B37</f>
        <v>0.23859999999999962</v>
      </c>
      <c r="C96" s="1064" t="s">
        <v>2069</v>
      </c>
      <c r="D96" s="809"/>
      <c r="E96" s="809"/>
      <c r="F96" s="809"/>
      <c r="G96" s="809"/>
      <c r="H96" s="809"/>
      <c r="I96" s="718" t="s">
        <v>2068</v>
      </c>
      <c r="J96" s="691">
        <f>B96*1000/25.4</f>
        <v>9.3937007874015599</v>
      </c>
      <c r="K96" s="1068" t="s">
        <v>2070</v>
      </c>
      <c r="L96" s="809"/>
      <c r="M96" s="809"/>
      <c r="N96" s="809"/>
      <c r="O96" s="809"/>
      <c r="P96" s="809"/>
      <c r="Q96" s="5"/>
      <c r="R96" s="5"/>
      <c r="S96" s="5"/>
      <c r="T96" s="5"/>
      <c r="U96" s="5"/>
      <c r="V96" s="5"/>
      <c r="W96" s="5"/>
      <c r="X96" s="5"/>
      <c r="Y96" s="5"/>
    </row>
    <row r="97" spans="1:25" ht="43.5" customHeight="1" x14ac:dyDescent="0.2">
      <c r="A97" s="82" t="s">
        <v>2071</v>
      </c>
      <c r="B97" s="691">
        <f>(0.5+0.06*B36/B37)*B37</f>
        <v>3.4109999999999996</v>
      </c>
      <c r="C97" s="1064" t="s">
        <v>2072</v>
      </c>
      <c r="D97" s="809"/>
      <c r="E97" s="809"/>
      <c r="F97" s="809"/>
      <c r="G97" s="809"/>
      <c r="H97" s="809"/>
      <c r="I97" s="718" t="s">
        <v>2071</v>
      </c>
      <c r="J97" s="691">
        <f>B97*1000/25.4</f>
        <v>134.29133858267716</v>
      </c>
      <c r="K97" s="1068" t="s">
        <v>2073</v>
      </c>
      <c r="L97" s="809"/>
      <c r="M97" s="809"/>
      <c r="N97" s="809"/>
      <c r="O97" s="809"/>
      <c r="P97" s="809"/>
      <c r="Q97" s="5"/>
      <c r="R97" s="5"/>
      <c r="S97" s="5"/>
      <c r="T97" s="5"/>
      <c r="U97" s="5"/>
      <c r="V97" s="5"/>
      <c r="W97" s="5"/>
      <c r="X97" s="5"/>
      <c r="Y97" s="5"/>
    </row>
    <row r="98" spans="1:25" ht="53.25" customHeight="1" x14ac:dyDescent="0.2">
      <c r="A98" s="82" t="s">
        <v>2074</v>
      </c>
      <c r="B98" s="691">
        <f>(1-(COSH(3.67*B37/B36)-1)/(3.67*B37/B36*SINH(3.67*B37/B36)))*B37</f>
        <v>2.2776932179640847</v>
      </c>
      <c r="C98" s="1065" t="s">
        <v>2075</v>
      </c>
      <c r="D98" s="809"/>
      <c r="E98" s="809"/>
      <c r="F98" s="809"/>
      <c r="G98" s="809"/>
      <c r="H98" s="809"/>
      <c r="I98" s="718" t="s">
        <v>2074</v>
      </c>
      <c r="J98" s="691">
        <f>B98*1000/25.4</f>
        <v>89.672961337168701</v>
      </c>
      <c r="K98" s="900" t="s">
        <v>2076</v>
      </c>
      <c r="L98" s="809"/>
      <c r="M98" s="809"/>
      <c r="N98" s="809"/>
      <c r="O98" s="809"/>
      <c r="P98" s="809"/>
      <c r="Q98" s="5"/>
      <c r="R98" s="5"/>
      <c r="S98" s="5">
        <f>B36/B37</f>
        <v>4.7356321839080469</v>
      </c>
      <c r="T98" s="5" t="str">
        <f>IF(S98&gt;1.33, "Error", "OK")</f>
        <v>Error</v>
      </c>
      <c r="U98" s="5"/>
      <c r="V98" s="5"/>
      <c r="W98" s="5"/>
      <c r="X98" s="5"/>
      <c r="Y98" s="5"/>
    </row>
    <row r="99" spans="1:25" ht="43.5" customHeight="1" x14ac:dyDescent="0.2">
      <c r="A99" s="82" t="s">
        <v>2077</v>
      </c>
      <c r="B99" s="691">
        <f>B37*(1-(COSH(3.67*B37/B36)-1.937)/(3.67*B37/B36*SINH(3.67*B37/B36)))</f>
        <v>8.4297340870978061</v>
      </c>
      <c r="C99" s="1064" t="s">
        <v>2078</v>
      </c>
      <c r="D99" s="809"/>
      <c r="E99" s="809"/>
      <c r="F99" s="809"/>
      <c r="G99" s="809"/>
      <c r="H99" s="809"/>
      <c r="I99" s="718" t="s">
        <v>2077</v>
      </c>
      <c r="J99" s="691">
        <f>B99*1000/25.4</f>
        <v>331.8792947676302</v>
      </c>
      <c r="K99" s="1068" t="s">
        <v>2079</v>
      </c>
      <c r="L99" s="809"/>
      <c r="M99" s="809"/>
      <c r="N99" s="809"/>
      <c r="O99" s="809"/>
      <c r="P99" s="809"/>
      <c r="Q99" s="5"/>
      <c r="R99" s="5"/>
      <c r="S99" s="5"/>
      <c r="T99" s="5"/>
      <c r="U99" s="5"/>
      <c r="V99" s="5"/>
      <c r="W99" s="5"/>
      <c r="X99" s="5"/>
      <c r="Y99" s="5"/>
    </row>
    <row r="100" spans="1:25" ht="41.25" customHeight="1" x14ac:dyDescent="0.2">
      <c r="A100" s="5"/>
      <c r="B100" s="5"/>
      <c r="C100" s="212"/>
      <c r="D100" s="212"/>
      <c r="E100" s="212"/>
      <c r="F100" s="212"/>
      <c r="G100" s="212"/>
      <c r="H100" s="212"/>
      <c r="I100" s="226"/>
      <c r="J100" s="5"/>
      <c r="K100" s="900" t="s">
        <v>2080</v>
      </c>
      <c r="L100" s="809"/>
      <c r="M100" s="809"/>
      <c r="N100" s="809"/>
      <c r="O100" s="809"/>
      <c r="P100" s="809"/>
      <c r="Q100" s="5"/>
      <c r="R100" s="5"/>
      <c r="S100" s="5"/>
      <c r="T100" s="5"/>
      <c r="U100" s="5"/>
      <c r="V100" s="5"/>
      <c r="W100" s="5"/>
      <c r="X100" s="5"/>
      <c r="Y100" s="5"/>
    </row>
    <row r="101" spans="1:25" x14ac:dyDescent="0.2">
      <c r="A101" s="5" t="s">
        <v>1689</v>
      </c>
      <c r="B101" s="692">
        <f>SQRT((B56*(B69*B96+B32*B24+B33*B25+B38*B37/2+B39*B25))^2+(B57*(B71*B98))^2)</f>
        <v>6325621.3523892444</v>
      </c>
      <c r="C101" s="1054" t="s">
        <v>2081</v>
      </c>
      <c r="D101" s="809"/>
      <c r="E101" s="809"/>
      <c r="F101" s="809"/>
      <c r="G101" s="809"/>
      <c r="H101" s="809"/>
      <c r="I101" s="226" t="s">
        <v>1689</v>
      </c>
      <c r="J101" s="720">
        <f>B101*0.7375</f>
        <v>4665145.7473870683</v>
      </c>
      <c r="K101" s="901" t="s">
        <v>2082</v>
      </c>
      <c r="L101" s="809"/>
      <c r="M101" s="809"/>
      <c r="N101" s="809"/>
      <c r="O101" s="809"/>
      <c r="P101" s="809"/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">
      <c r="A102" s="5" t="s">
        <v>2083</v>
      </c>
      <c r="B102" s="692">
        <f>SQRT((B56*(B69*B97+B32*B24+B33*B25+B38*B37/4+B39*B25))^2+(B57*(B71*B99))^2)</f>
        <v>7529429.5831201803</v>
      </c>
      <c r="C102" s="1054" t="s">
        <v>2084</v>
      </c>
      <c r="D102" s="809"/>
      <c r="E102" s="809"/>
      <c r="F102" s="809"/>
      <c r="G102" s="809"/>
      <c r="H102" s="809"/>
      <c r="I102" s="226" t="s">
        <v>2083</v>
      </c>
      <c r="J102" s="720">
        <f>B102*0.7375</f>
        <v>5552954.3175511332</v>
      </c>
      <c r="K102" s="901" t="s">
        <v>2085</v>
      </c>
      <c r="L102" s="809"/>
      <c r="M102" s="809"/>
      <c r="N102" s="809"/>
      <c r="O102" s="809"/>
      <c r="P102" s="809"/>
      <c r="Q102" s="5"/>
      <c r="R102" s="5"/>
      <c r="S102" s="5"/>
      <c r="T102" s="5"/>
      <c r="U102" s="5"/>
      <c r="V102" s="5"/>
      <c r="W102" s="5"/>
      <c r="X102" s="5"/>
      <c r="Y102" s="5"/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 t="s">
        <v>1712</v>
      </c>
      <c r="S103" s="5"/>
      <c r="T103" s="5"/>
      <c r="U103" s="5" t="s">
        <v>2086</v>
      </c>
      <c r="V103" s="5">
        <f>S106/U106</f>
        <v>1.7448132610776408</v>
      </c>
      <c r="W103" s="5"/>
      <c r="X103" s="5"/>
      <c r="Y103" s="5"/>
    </row>
    <row r="104" spans="1:25" ht="20.25" customHeight="1" x14ac:dyDescent="0.3">
      <c r="A104" s="63" t="s">
        <v>2200</v>
      </c>
      <c r="B104" s="5"/>
      <c r="C104" s="5"/>
      <c r="D104" s="5"/>
      <c r="E104" s="5"/>
      <c r="F104" s="5"/>
      <c r="G104" s="5"/>
      <c r="H104" s="5"/>
      <c r="I104" s="63" t="s">
        <v>2200</v>
      </c>
      <c r="J104" s="5"/>
      <c r="K104" s="5"/>
      <c r="L104" s="5"/>
      <c r="M104" s="5"/>
      <c r="N104" s="5"/>
      <c r="O104" s="5"/>
      <c r="P104" s="5"/>
      <c r="Q104" s="5"/>
      <c r="R104" s="5" t="s">
        <v>2088</v>
      </c>
      <c r="S104" s="5"/>
      <c r="T104" s="5"/>
      <c r="U104" s="5"/>
      <c r="V104" s="5"/>
      <c r="W104" s="5"/>
      <c r="X104" s="5"/>
      <c r="Y104" s="5"/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 t="s">
        <v>2089</v>
      </c>
      <c r="S105" s="5"/>
      <c r="T105" s="5"/>
      <c r="U105" s="5" t="s">
        <v>2090</v>
      </c>
      <c r="V105" s="5" t="s">
        <v>2091</v>
      </c>
      <c r="W105" s="5"/>
      <c r="X105" s="5"/>
      <c r="Y105" s="5"/>
    </row>
    <row r="106" spans="1:25" ht="42" customHeight="1" x14ac:dyDescent="0.2">
      <c r="A106" s="82" t="s">
        <v>2089</v>
      </c>
      <c r="B106" s="686">
        <f>(B50*(1+0.4*B9)+1.273*B101/B36^2)/(1000*B30)</f>
        <v>5.0454942529451143</v>
      </c>
      <c r="C106" s="1054" t="s">
        <v>2092</v>
      </c>
      <c r="D106" s="809"/>
      <c r="E106" s="809"/>
      <c r="F106" s="809"/>
      <c r="G106" s="809"/>
      <c r="H106" s="809"/>
      <c r="I106" s="82" t="s">
        <v>2089</v>
      </c>
      <c r="J106" s="686">
        <f>B106*145.04</f>
        <v>731.79848644715935</v>
      </c>
      <c r="K106" s="901" t="s">
        <v>2093</v>
      </c>
      <c r="L106" s="809"/>
      <c r="M106" s="809"/>
      <c r="N106" s="809"/>
      <c r="O106" s="809"/>
      <c r="P106" s="809"/>
      <c r="Q106" s="5"/>
      <c r="R106" s="5" t="s">
        <v>2094</v>
      </c>
      <c r="S106" s="117">
        <v>5.6991851878187081</v>
      </c>
      <c r="T106" s="5"/>
      <c r="U106" s="265">
        <f>'Inner Vessel Shell Thickness'!E58</f>
        <v>3.2663582487324443</v>
      </c>
      <c r="V106" s="5"/>
      <c r="W106" s="5"/>
      <c r="X106" s="5"/>
      <c r="Y106" s="5"/>
    </row>
    <row r="107" spans="1:25" ht="25.5" customHeight="1" x14ac:dyDescent="0.2">
      <c r="A107" s="82" t="s">
        <v>2094</v>
      </c>
      <c r="B107" s="686">
        <f>IF(B108&lt;44,83*B30/(2.5*B36)+7.5*(B37*B31)^0.5,83*B30/(B36))</f>
        <v>26.954053786683787</v>
      </c>
      <c r="C107" s="1003" t="s">
        <v>2095</v>
      </c>
      <c r="D107" s="809"/>
      <c r="E107" s="809"/>
      <c r="F107" s="809"/>
      <c r="G107" s="809"/>
      <c r="H107" s="809"/>
      <c r="I107" s="82" t="s">
        <v>2094</v>
      </c>
      <c r="J107" s="686">
        <f>B107*145.04</f>
        <v>3909.4159612206163</v>
      </c>
      <c r="K107" s="900" t="s">
        <v>2096</v>
      </c>
      <c r="L107" s="809"/>
      <c r="M107" s="809"/>
      <c r="N107" s="809"/>
      <c r="O107" s="809"/>
      <c r="P107" s="809"/>
      <c r="Q107" s="5"/>
      <c r="R107" s="5"/>
      <c r="S107" s="5"/>
      <c r="T107" s="5"/>
      <c r="U107" s="265">
        <f>'Inner Vessel Shell Thickness'!E59</f>
        <v>2.2148566682168891</v>
      </c>
      <c r="V107" s="5">
        <f t="shared" ref="V107:V114" si="2">U107*$V$103</f>
        <v>3.8645112860910684</v>
      </c>
      <c r="W107" s="5"/>
      <c r="X107" s="5"/>
      <c r="Y107" s="5"/>
    </row>
    <row r="108" spans="1:25" x14ac:dyDescent="0.2">
      <c r="A108" s="5" t="s">
        <v>2097</v>
      </c>
      <c r="B108" s="265">
        <f>B31*B37*B36^2/B30^2</f>
        <v>23.305320750000003</v>
      </c>
      <c r="C108" s="5"/>
      <c r="D108" s="5"/>
      <c r="E108" s="5"/>
      <c r="F108" s="5"/>
      <c r="G108" s="5"/>
      <c r="H108" s="5"/>
      <c r="I108" s="5" t="s">
        <v>2097</v>
      </c>
      <c r="J108" s="686">
        <f>B108</f>
        <v>23.305320750000003</v>
      </c>
      <c r="K108" s="5"/>
      <c r="L108" s="5"/>
      <c r="M108" s="5"/>
      <c r="N108" s="5"/>
      <c r="O108" s="5"/>
      <c r="P108" s="5"/>
      <c r="Q108" s="5"/>
      <c r="R108" s="5"/>
      <c r="S108" s="5">
        <f>(B50*(1+0.4*B9)+1.273*B101/B36^2)/(1000*S106)</f>
        <v>7.0824078694325978</v>
      </c>
      <c r="T108" s="5"/>
      <c r="U108" s="265">
        <f>'Inner Vessel Shell Thickness'!E60</f>
        <v>1.163355087701333</v>
      </c>
      <c r="V108" s="5">
        <f t="shared" si="2"/>
        <v>2.0298373843634274</v>
      </c>
      <c r="W108" s="5"/>
      <c r="X108" s="5"/>
      <c r="Y108" s="5"/>
    </row>
    <row r="109" spans="1:25" ht="25.5" customHeight="1" x14ac:dyDescent="0.2">
      <c r="A109" s="571" t="s">
        <v>2098</v>
      </c>
      <c r="B109" s="693">
        <f>B107/B106</f>
        <v>5.34220285177223</v>
      </c>
      <c r="C109" s="694" t="str">
        <f>IF(B109&gt;1,"OK","ERROR")</f>
        <v>OK</v>
      </c>
      <c r="D109" s="5"/>
      <c r="E109" s="5"/>
      <c r="F109" s="5"/>
      <c r="G109" s="5"/>
      <c r="H109" s="5"/>
      <c r="I109" s="571" t="s">
        <v>2098</v>
      </c>
      <c r="J109" s="693">
        <f>J107/J106</f>
        <v>5.34220285177223</v>
      </c>
      <c r="K109" s="694" t="str">
        <f>IF(J109&gt;1,"OK","ERROR")</f>
        <v>OK</v>
      </c>
      <c r="L109" s="5"/>
      <c r="M109" s="5"/>
      <c r="N109" s="5"/>
      <c r="O109" s="5"/>
      <c r="P109" s="5"/>
      <c r="Q109" s="5"/>
      <c r="R109" s="5"/>
      <c r="S109" s="5">
        <f>IF(B108&lt;44,83*S106/(2.5*B36)+7.5*(B37*B31*0.001)^0.5,83*S106/(B36))</f>
        <v>9.6297376898611127</v>
      </c>
      <c r="T109" s="5"/>
      <c r="U109" s="265">
        <f>'Inner Vessel Shell Thickness'!E61</f>
        <v>0.97934231111111103</v>
      </c>
      <c r="V109" s="5">
        <f t="shared" si="2"/>
        <v>1.7087694515610912</v>
      </c>
      <c r="W109" s="5"/>
      <c r="X109" s="5"/>
      <c r="Y109" s="5"/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265">
        <f>'Inner Vessel Shell Thickness'!E62</f>
        <v>0.97934231111111103</v>
      </c>
      <c r="V110" s="5">
        <f t="shared" si="2"/>
        <v>1.7087694515610912</v>
      </c>
      <c r="W110" s="5"/>
      <c r="X110" s="5"/>
      <c r="Y110" s="5"/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>
        <f>S108-S109</f>
        <v>-2.5473298204285149</v>
      </c>
      <c r="T111" s="5"/>
      <c r="U111" s="265">
        <f>'Inner Vessel Shell Thickness'!E63</f>
        <v>0.97934231111111103</v>
      </c>
      <c r="V111" s="5">
        <f t="shared" si="2"/>
        <v>1.7087694515610912</v>
      </c>
      <c r="W111" s="5"/>
      <c r="X111" s="5"/>
      <c r="Y111" s="5"/>
    </row>
    <row r="112" spans="1:25" x14ac:dyDescent="0.2">
      <c r="A112" s="1066" t="s">
        <v>2099</v>
      </c>
      <c r="B112" s="809"/>
      <c r="C112" s="809"/>
      <c r="D112" s="809"/>
      <c r="E112" s="809"/>
      <c r="F112" s="809"/>
      <c r="G112" s="809"/>
      <c r="H112" s="809"/>
      <c r="I112" s="1066" t="s">
        <v>2100</v>
      </c>
      <c r="J112" s="809"/>
      <c r="K112" s="809"/>
      <c r="L112" s="809"/>
      <c r="M112" s="809"/>
      <c r="N112" s="809"/>
      <c r="O112" s="809"/>
      <c r="P112" s="809"/>
      <c r="Q112" s="5"/>
      <c r="R112" s="5"/>
      <c r="S112" s="5"/>
      <c r="T112" s="5"/>
      <c r="U112" s="265">
        <f>'Inner Vessel Shell Thickness'!E64</f>
        <v>0.97934231111111103</v>
      </c>
      <c r="V112" s="5">
        <f t="shared" si="2"/>
        <v>1.7087694515610912</v>
      </c>
      <c r="W112" s="5"/>
      <c r="X112" s="5"/>
      <c r="Y112" s="5"/>
    </row>
    <row r="113" spans="1:25" x14ac:dyDescent="0.2">
      <c r="A113" s="809"/>
      <c r="B113" s="809"/>
      <c r="C113" s="809"/>
      <c r="D113" s="809"/>
      <c r="E113" s="809"/>
      <c r="F113" s="809"/>
      <c r="G113" s="809"/>
      <c r="H113" s="809"/>
      <c r="I113" s="809"/>
      <c r="J113" s="809"/>
      <c r="K113" s="809"/>
      <c r="L113" s="809"/>
      <c r="M113" s="809"/>
      <c r="N113" s="809"/>
      <c r="O113" s="809"/>
      <c r="P113" s="809"/>
      <c r="Q113" s="5"/>
      <c r="R113" s="5"/>
      <c r="S113" s="5"/>
      <c r="T113" s="5"/>
      <c r="U113" s="265">
        <f>'Inner Vessel Shell Thickness'!E65</f>
        <v>0.97934231111111103</v>
      </c>
      <c r="V113" s="5">
        <f t="shared" si="2"/>
        <v>1.7087694515610912</v>
      </c>
      <c r="W113" s="5"/>
      <c r="X113" s="5"/>
      <c r="Y113" s="5"/>
    </row>
    <row r="114" spans="1:25" x14ac:dyDescent="0.2">
      <c r="A114" s="5"/>
      <c r="B114" s="263"/>
      <c r="C114" s="5"/>
      <c r="D114" s="5"/>
      <c r="E114" s="5"/>
      <c r="F114" s="5"/>
      <c r="G114" s="5"/>
      <c r="H114" s="5"/>
      <c r="I114" s="5"/>
      <c r="J114" s="263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265" t="e">
        <f>'Inner Vessel Shell Thickness'!#REF!</f>
        <v>#REF!</v>
      </c>
      <c r="V114" s="5" t="e">
        <f t="shared" si="2"/>
        <v>#REF!</v>
      </c>
      <c r="W114" s="5"/>
      <c r="X114" s="5"/>
      <c r="Y114" s="5"/>
    </row>
    <row r="115" spans="1:25" ht="13.7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 t="s">
        <v>1435</v>
      </c>
      <c r="S115" s="5"/>
      <c r="T115" s="5"/>
      <c r="U115" s="5" t="e">
        <f>'Inner Vessel Shell Thickness'!#REF!</f>
        <v>#REF!</v>
      </c>
      <c r="V115" s="5"/>
      <c r="W115" s="5"/>
      <c r="X115" s="5"/>
      <c r="Y115" s="5"/>
    </row>
    <row r="116" spans="1:25" x14ac:dyDescent="0.2">
      <c r="A116" s="5" t="s">
        <v>2101</v>
      </c>
      <c r="B116" s="263">
        <f>(1.273*B101/B36^2-B50*(1-0.4*B9))</f>
        <v>4646.8905047244498</v>
      </c>
      <c r="C116" s="5" t="s">
        <v>2201</v>
      </c>
      <c r="D116" s="5"/>
      <c r="E116" s="5"/>
      <c r="F116" s="5"/>
      <c r="G116" s="5"/>
      <c r="H116" s="5"/>
      <c r="I116" s="5" t="s">
        <v>2101</v>
      </c>
      <c r="J116" s="263">
        <f>B116</f>
        <v>4646.8905047244498</v>
      </c>
      <c r="K116" s="5" t="s">
        <v>2201</v>
      </c>
      <c r="L116" s="5"/>
      <c r="M116" s="5"/>
      <c r="N116" s="5"/>
      <c r="O116" s="5"/>
      <c r="P116" s="5"/>
      <c r="Q116" s="5"/>
      <c r="R116" s="5" t="s">
        <v>2103</v>
      </c>
      <c r="S116" s="5"/>
      <c r="T116" s="5"/>
      <c r="U116" s="5"/>
      <c r="V116" s="5"/>
      <c r="W116" s="5"/>
      <c r="X116" s="5"/>
      <c r="Y116" s="5"/>
    </row>
    <row r="117" spans="1:25" x14ac:dyDescent="0.2">
      <c r="A117" s="5" t="s">
        <v>2104</v>
      </c>
      <c r="B117" s="263">
        <f>B116*PI()*B36/'Main Dimensions Calcs'!D61</f>
        <v>5012.1987279429504</v>
      </c>
      <c r="C117" s="5" t="s">
        <v>2105</v>
      </c>
      <c r="D117" s="5"/>
      <c r="E117" s="5"/>
      <c r="F117" s="5"/>
      <c r="G117" s="5"/>
      <c r="H117" s="5"/>
      <c r="I117" s="5" t="s">
        <v>2104</v>
      </c>
      <c r="J117" s="263">
        <f>B117*0.225</f>
        <v>1127.7447137871638</v>
      </c>
      <c r="K117" s="64" t="s">
        <v>2106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x14ac:dyDescent="0.2">
      <c r="A118" s="5" t="s">
        <v>2107</v>
      </c>
      <c r="B118" s="263">
        <f>B117/('Main Dimensions Calcs'!D64*'Main Dimensions Calcs'!E64)+'Inner Tank Anchors'!B29*0.7</f>
        <v>28.502738131868753</v>
      </c>
      <c r="C118" s="5" t="s">
        <v>2108</v>
      </c>
      <c r="D118" s="5"/>
      <c r="E118" s="5"/>
      <c r="F118" s="5"/>
      <c r="G118" s="5"/>
      <c r="H118" s="5"/>
      <c r="I118" s="5" t="s">
        <v>2107</v>
      </c>
      <c r="J118" s="686">
        <f>B118*145.04</f>
        <v>4134.0371386462439</v>
      </c>
      <c r="K118" s="695" t="s">
        <v>2109</v>
      </c>
      <c r="L118" s="274"/>
      <c r="M118" s="274"/>
      <c r="N118" s="274"/>
      <c r="O118" s="274"/>
      <c r="P118" s="274"/>
      <c r="Q118" s="5"/>
      <c r="R118" s="5"/>
      <c r="S118" s="5">
        <f>(B50*(1+0.44*B9)+1.273*B101/B36^2)</f>
        <v>40716.929094354608</v>
      </c>
      <c r="T118" s="982" t="s">
        <v>2110</v>
      </c>
      <c r="U118" s="809"/>
      <c r="V118" s="809"/>
      <c r="W118" s="809"/>
      <c r="X118" s="809"/>
      <c r="Y118" s="809"/>
    </row>
    <row r="119" spans="1:25" x14ac:dyDescent="0.2">
      <c r="A119" s="571"/>
      <c r="B119" s="571">
        <f>B26*0.8</f>
        <v>165.44000000000003</v>
      </c>
      <c r="C119" s="571" t="s">
        <v>2111</v>
      </c>
      <c r="D119" s="5"/>
      <c r="E119" s="5"/>
      <c r="F119" s="5"/>
      <c r="G119" s="5"/>
      <c r="H119" s="5"/>
      <c r="I119" s="571"/>
      <c r="J119" s="686">
        <f>B119*145.04</f>
        <v>23995.417600000001</v>
      </c>
      <c r="K119" s="571" t="s">
        <v>2112</v>
      </c>
      <c r="L119" s="5"/>
      <c r="M119" s="5"/>
      <c r="N119" s="5"/>
      <c r="O119" s="5"/>
      <c r="P119" s="5"/>
      <c r="Q119" s="5"/>
      <c r="R119" s="5"/>
      <c r="S119" s="5">
        <f>S118/1000/('Main Dimensions Calcs'!E86*1000)</f>
        <v>4.5241032327060671E-2</v>
      </c>
      <c r="T119" s="5" t="s">
        <v>2113</v>
      </c>
      <c r="U119" s="5"/>
      <c r="V119" s="5"/>
      <c r="W119" s="5"/>
      <c r="X119" s="5"/>
      <c r="Y119" s="5"/>
    </row>
    <row r="120" spans="1:25" x14ac:dyDescent="0.2">
      <c r="A120" s="571" t="s">
        <v>2098</v>
      </c>
      <c r="B120" s="693">
        <f>B119/B118</f>
        <v>5.804354628477693</v>
      </c>
      <c r="C120" s="694" t="str">
        <f>IF(B120&gt;1,"OK","ERROR")</f>
        <v>OK</v>
      </c>
      <c r="D120" s="5"/>
      <c r="E120" s="5"/>
      <c r="F120" s="5"/>
      <c r="G120" s="5"/>
      <c r="H120" s="5"/>
      <c r="I120" s="571" t="s">
        <v>2098</v>
      </c>
      <c r="J120" s="693">
        <f>J119/J118</f>
        <v>5.8043546284776921</v>
      </c>
      <c r="K120" s="694" t="str">
        <f>IF(J120&gt;1,"OK","ERROR")</f>
        <v>OK</v>
      </c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3.5" customHeight="1" thickBo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7.25" customHeight="1" thickTop="1" thickBot="1" x14ac:dyDescent="0.3">
      <c r="A124" s="28"/>
      <c r="B124" s="4"/>
      <c r="C124" s="408"/>
      <c r="D124" s="934" t="str">
        <f>'Front Page'!$A$13</f>
        <v>Mechanical  Calculations</v>
      </c>
      <c r="E124" s="842"/>
      <c r="F124" s="842"/>
      <c r="G124" s="842"/>
      <c r="H124" s="859"/>
      <c r="I124" s="28"/>
      <c r="J124" s="4"/>
      <c r="K124" s="408"/>
      <c r="L124" s="934" t="str">
        <f>'Front Page'!$A$13</f>
        <v>Mechanical  Calculations</v>
      </c>
      <c r="M124" s="842"/>
      <c r="N124" s="842"/>
      <c r="O124" s="842"/>
      <c r="P124" s="859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6.5" customHeight="1" thickBot="1" x14ac:dyDescent="0.3">
      <c r="A125" s="6"/>
      <c r="B125" s="5"/>
      <c r="C125" s="14"/>
      <c r="D125" s="984"/>
      <c r="E125" s="831"/>
      <c r="F125" s="831"/>
      <c r="G125" s="831"/>
      <c r="H125" s="854"/>
      <c r="I125" s="6"/>
      <c r="J125" s="5"/>
      <c r="K125" s="14"/>
      <c r="L125" s="984"/>
      <c r="M125" s="831"/>
      <c r="N125" s="831"/>
      <c r="O125" s="831"/>
      <c r="P125" s="854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6.5" customHeight="1" thickBot="1" x14ac:dyDescent="0.3">
      <c r="A126" s="8"/>
      <c r="B126" s="9"/>
      <c r="C126" s="409"/>
      <c r="D126" s="985" t="s">
        <v>1954</v>
      </c>
      <c r="E126" s="834"/>
      <c r="F126" s="834"/>
      <c r="G126" s="834"/>
      <c r="H126" s="986"/>
      <c r="I126" s="8"/>
      <c r="J126" s="9"/>
      <c r="K126" s="409"/>
      <c r="L126" s="985" t="s">
        <v>1954</v>
      </c>
      <c r="M126" s="834"/>
      <c r="N126" s="834"/>
      <c r="O126" s="834"/>
      <c r="P126" s="986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6.5" customHeight="1" thickTop="1" thickBot="1" x14ac:dyDescent="0.3">
      <c r="A127" s="873"/>
      <c r="B127" s="848"/>
      <c r="C127" s="865"/>
      <c r="D127" s="385" t="str">
        <f>'Front Page'!$D$4</f>
        <v>Doc Nº</v>
      </c>
      <c r="E127" s="980"/>
      <c r="F127" s="843"/>
      <c r="G127" s="980"/>
      <c r="H127" s="843"/>
      <c r="I127" s="873"/>
      <c r="J127" s="848"/>
      <c r="K127" s="865"/>
      <c r="L127" s="385" t="str">
        <f>'Front Page'!$D$4</f>
        <v>Doc Nº</v>
      </c>
      <c r="M127" s="980"/>
      <c r="N127" s="843"/>
      <c r="O127" s="980"/>
      <c r="P127" s="843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 thickBot="1" x14ac:dyDescent="0.3">
      <c r="A128" s="860"/>
      <c r="B128" s="851"/>
      <c r="C128" s="861"/>
      <c r="D128" s="386" t="str">
        <f>'Front Page'!$D$5</f>
        <v>Project</v>
      </c>
      <c r="E128" s="899"/>
      <c r="F128" s="835"/>
      <c r="G128" s="131" t="s">
        <v>5</v>
      </c>
      <c r="H128" s="132"/>
      <c r="I128" s="860"/>
      <c r="J128" s="851"/>
      <c r="K128" s="861"/>
      <c r="L128" s="386" t="str">
        <f>'Front Page'!$D$5</f>
        <v>Project</v>
      </c>
      <c r="M128" s="899"/>
      <c r="N128" s="835"/>
      <c r="O128" s="131" t="s">
        <v>5</v>
      </c>
      <c r="P128" s="427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3.5" customHeight="1" thickTop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x14ac:dyDescent="0.2">
      <c r="A130" s="927" t="s">
        <v>2114</v>
      </c>
      <c r="B130" s="809"/>
      <c r="C130" s="809"/>
      <c r="D130" s="809"/>
      <c r="E130" s="809"/>
      <c r="F130" s="809"/>
      <c r="G130" s="809"/>
      <c r="H130" s="809"/>
      <c r="I130" s="927" t="s">
        <v>2114</v>
      </c>
      <c r="J130" s="809"/>
      <c r="K130" s="809"/>
      <c r="L130" s="809"/>
      <c r="M130" s="809"/>
      <c r="N130" s="809"/>
      <c r="O130" s="809"/>
      <c r="P130" s="809"/>
      <c r="Q130" s="5"/>
      <c r="R130" s="5"/>
      <c r="S130" s="5"/>
      <c r="T130" s="5"/>
      <c r="U130" s="5"/>
      <c r="V130" s="5"/>
      <c r="W130" s="5"/>
      <c r="X130" s="5"/>
      <c r="Y130" s="5"/>
    </row>
    <row r="131" spans="1:25" x14ac:dyDescent="0.2">
      <c r="A131" s="809"/>
      <c r="B131" s="809"/>
      <c r="C131" s="809"/>
      <c r="D131" s="809"/>
      <c r="E131" s="809"/>
      <c r="F131" s="809"/>
      <c r="G131" s="809"/>
      <c r="H131" s="809"/>
      <c r="I131" s="809"/>
      <c r="J131" s="809"/>
      <c r="K131" s="809"/>
      <c r="L131" s="809"/>
      <c r="M131" s="809"/>
      <c r="N131" s="809"/>
      <c r="O131" s="809"/>
      <c r="P131" s="809"/>
      <c r="Q131" s="5"/>
      <c r="R131" s="5"/>
      <c r="S131" s="5"/>
      <c r="T131" s="5"/>
      <c r="U131" s="5"/>
      <c r="V131" s="5"/>
      <c r="W131" s="5"/>
      <c r="X131" s="5"/>
      <c r="Y131" s="5"/>
    </row>
    <row r="132" spans="1:25" x14ac:dyDescent="0.2">
      <c r="A132" s="809"/>
      <c r="B132" s="809"/>
      <c r="C132" s="809"/>
      <c r="D132" s="809"/>
      <c r="E132" s="809"/>
      <c r="F132" s="809"/>
      <c r="G132" s="809"/>
      <c r="H132" s="809"/>
      <c r="I132" s="809"/>
      <c r="J132" s="809"/>
      <c r="K132" s="809"/>
      <c r="L132" s="809"/>
      <c r="M132" s="809"/>
      <c r="N132" s="809"/>
      <c r="O132" s="809"/>
      <c r="P132" s="809"/>
      <c r="Q132" s="5"/>
      <c r="R132" s="5"/>
      <c r="S132" s="5"/>
      <c r="T132" s="5"/>
      <c r="U132" s="5"/>
      <c r="V132" s="5"/>
      <c r="W132" s="5"/>
      <c r="X132" s="5"/>
      <c r="Y132" s="5"/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x14ac:dyDescent="0.2">
      <c r="A134" s="14" t="s">
        <v>2115</v>
      </c>
      <c r="B134" s="14" t="s">
        <v>2116</v>
      </c>
      <c r="C134" s="14" t="s">
        <v>2117</v>
      </c>
      <c r="D134" s="14" t="s">
        <v>2118</v>
      </c>
      <c r="E134" s="14" t="s">
        <v>360</v>
      </c>
      <c r="F134" s="14" t="s">
        <v>2119</v>
      </c>
      <c r="G134" s="14" t="s">
        <v>2120</v>
      </c>
      <c r="H134" s="5"/>
      <c r="I134" s="402" t="s">
        <v>2115</v>
      </c>
      <c r="J134" s="402" t="s">
        <v>2116</v>
      </c>
      <c r="K134" s="402" t="s">
        <v>2117</v>
      </c>
      <c r="L134" s="402" t="s">
        <v>2118</v>
      </c>
      <c r="M134" s="402" t="s">
        <v>360</v>
      </c>
      <c r="N134" s="402" t="s">
        <v>2119</v>
      </c>
      <c r="O134" s="402" t="s">
        <v>2120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58.5" customHeight="1" x14ac:dyDescent="0.2">
      <c r="A135" s="242" t="s">
        <v>2121</v>
      </c>
      <c r="B135" s="242" t="s">
        <v>2122</v>
      </c>
      <c r="C135" s="242" t="s">
        <v>2123</v>
      </c>
      <c r="D135" s="242" t="s">
        <v>2124</v>
      </c>
      <c r="E135" s="242" t="s">
        <v>2125</v>
      </c>
      <c r="F135" s="242" t="s">
        <v>2126</v>
      </c>
      <c r="G135" s="14"/>
      <c r="H135" s="5"/>
      <c r="I135" s="512" t="s">
        <v>2121</v>
      </c>
      <c r="J135" s="512" t="s">
        <v>2122</v>
      </c>
      <c r="K135" s="512" t="s">
        <v>2123</v>
      </c>
      <c r="L135" s="512" t="s">
        <v>2124</v>
      </c>
      <c r="M135" s="512" t="s">
        <v>2125</v>
      </c>
      <c r="N135" s="512" t="s">
        <v>2126</v>
      </c>
      <c r="O135" s="402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48" customHeight="1" x14ac:dyDescent="0.2">
      <c r="A136" s="543" t="s">
        <v>2127</v>
      </c>
      <c r="B136" s="543" t="s">
        <v>2128</v>
      </c>
      <c r="C136" s="543" t="s">
        <v>2129</v>
      </c>
      <c r="D136" s="543" t="s">
        <v>2130</v>
      </c>
      <c r="E136" s="543" t="s">
        <v>2131</v>
      </c>
      <c r="F136" s="543" t="s">
        <v>2132</v>
      </c>
      <c r="G136" s="14"/>
      <c r="H136" s="5"/>
      <c r="I136" s="626" t="s">
        <v>2127</v>
      </c>
      <c r="J136" s="626" t="s">
        <v>2128</v>
      </c>
      <c r="K136" s="626" t="s">
        <v>2129</v>
      </c>
      <c r="L136" s="626" t="s">
        <v>2130</v>
      </c>
      <c r="M136" s="626" t="s">
        <v>2131</v>
      </c>
      <c r="N136" s="626" t="s">
        <v>2132</v>
      </c>
      <c r="O136" s="402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3.5" customHeight="1" x14ac:dyDescent="0.2">
      <c r="A137" s="218" t="s">
        <v>940</v>
      </c>
      <c r="B137" s="218" t="s">
        <v>940</v>
      </c>
      <c r="C137" s="218" t="s">
        <v>940</v>
      </c>
      <c r="D137" s="218" t="s">
        <v>247</v>
      </c>
      <c r="E137" s="218" t="s">
        <v>247</v>
      </c>
      <c r="F137" s="218" t="s">
        <v>941</v>
      </c>
      <c r="G137" s="14"/>
      <c r="H137" s="5"/>
      <c r="I137" s="508" t="s">
        <v>940</v>
      </c>
      <c r="J137" s="508" t="s">
        <v>940</v>
      </c>
      <c r="K137" s="508" t="s">
        <v>940</v>
      </c>
      <c r="L137" s="491" t="s">
        <v>248</v>
      </c>
      <c r="M137" s="491" t="s">
        <v>248</v>
      </c>
      <c r="N137" s="491" t="s">
        <v>926</v>
      </c>
      <c r="O137" s="402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x14ac:dyDescent="0.2">
      <c r="A138" s="417">
        <f t="shared" ref="A138:A146" si="3">IF(((D138/1000)&lt;($B$36*0.75)),(5.22*$B$56*$B$31*$B$36^2*(D138/(0.75*$B$36)-0.5*(D138*0.001/(0.75*$B$36))^2)), (2.6*$B$56*$B$31*$B$36^2))</f>
        <v>378380.13991195883</v>
      </c>
      <c r="B138" s="417">
        <f t="shared" ref="B138:B146" si="4">1.85*$B$57*$B$31*$B$36^2*COSH(3.68*($B$37-D138/1000)/$B$36)/(COSH(3.68*$B$37/$B$36))</f>
        <v>41.892736229718793</v>
      </c>
      <c r="C138" s="487">
        <f>'Inner Vessel Shell Thickness'!C58</f>
        <v>506708.91200000001</v>
      </c>
      <c r="D138" s="696">
        <f>'Main Dimensions Calcs'!D51</f>
        <v>4350</v>
      </c>
      <c r="E138" s="696">
        <f>'Main Dimensions Calcs'!H7</f>
        <v>8</v>
      </c>
      <c r="F138" s="417">
        <f t="shared" ref="F138:F146" si="5">(C138+SQRT(A138^2+B138^2+(C138*$B$9)^2))/E138/1000</f>
        <v>120.05348033245495</v>
      </c>
      <c r="G138" s="570">
        <f>'Allowable Stresses'!$G$31:$H$31*1.33/F138</f>
        <v>1.718587359991905</v>
      </c>
      <c r="H138" s="5"/>
      <c r="I138" s="437">
        <f t="shared" ref="I138:I146" si="6">A138</f>
        <v>378380.13991195883</v>
      </c>
      <c r="J138" s="437">
        <f t="shared" ref="J138:J146" si="7">B138</f>
        <v>41.892736229718793</v>
      </c>
      <c r="K138" s="721">
        <f>'Inner Vessel Shell Thickness'!K58</f>
        <v>506708.91200000001</v>
      </c>
      <c r="L138" s="722">
        <f t="shared" ref="L138:L146" si="8">D138/25.4</f>
        <v>171.25984251968504</v>
      </c>
      <c r="M138" s="722">
        <f t="shared" ref="M138:M146" si="9">E138/25.4</f>
        <v>0.31496062992125984</v>
      </c>
      <c r="N138" s="699">
        <f t="shared" ref="N138:N146" si="10">F138*145.04</f>
        <v>17412.556787419264</v>
      </c>
      <c r="O138" s="700">
        <f t="shared" ref="O138:O146" si="11">G138</f>
        <v>1.718587359991905</v>
      </c>
      <c r="P138" s="5" t="str">
        <f t="shared" ref="P138:P146" si="12">IF(O138&gt;1,"OK","Error")</f>
        <v>OK</v>
      </c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2.75" customHeight="1" x14ac:dyDescent="0.2">
      <c r="A139" s="417">
        <f t="shared" si="3"/>
        <v>204425.49192244266</v>
      </c>
      <c r="B139" s="417">
        <f t="shared" si="4"/>
        <v>44.595106327105277</v>
      </c>
      <c r="C139" s="487">
        <f>'Inner Vessel Shell Thickness'!C59</f>
        <v>343589.87200000003</v>
      </c>
      <c r="D139" s="696">
        <f>D138-'Main Dimensions Calcs'!I7</f>
        <v>2350</v>
      </c>
      <c r="E139" s="696">
        <f>'Main Dimensions Calcs'!H8</f>
        <v>8</v>
      </c>
      <c r="F139" s="417">
        <f t="shared" si="5"/>
        <v>76.165349212113412</v>
      </c>
      <c r="G139" s="570">
        <f>'Allowable Stresses'!$G$31:$H$31*1.33/F139</f>
        <v>2.7088747830434698</v>
      </c>
      <c r="H139" s="5"/>
      <c r="I139" s="437">
        <f t="shared" si="6"/>
        <v>204425.49192244266</v>
      </c>
      <c r="J139" s="437">
        <f t="shared" si="7"/>
        <v>44.595106327105277</v>
      </c>
      <c r="K139" s="721">
        <f>'Inner Vessel Shell Thickness'!K59</f>
        <v>343589.87200000003</v>
      </c>
      <c r="L139" s="722">
        <f t="shared" si="8"/>
        <v>92.519685039370088</v>
      </c>
      <c r="M139" s="722">
        <f t="shared" si="9"/>
        <v>0.31496062992125984</v>
      </c>
      <c r="N139" s="699">
        <f t="shared" si="10"/>
        <v>11047.022249724929</v>
      </c>
      <c r="O139" s="700">
        <f t="shared" si="11"/>
        <v>2.7088747830434698</v>
      </c>
      <c r="P139" s="5" t="str">
        <f t="shared" si="12"/>
        <v>OK</v>
      </c>
      <c r="Q139" s="5"/>
      <c r="R139" s="5"/>
      <c r="S139" s="5"/>
      <c r="T139" s="5"/>
      <c r="U139" s="5"/>
      <c r="V139" s="5"/>
      <c r="W139" s="5"/>
      <c r="X139" s="5"/>
      <c r="Y139" s="5"/>
    </row>
    <row r="140" spans="1:25" x14ac:dyDescent="0.2">
      <c r="A140" s="417">
        <f t="shared" si="3"/>
        <v>30448.320648202662</v>
      </c>
      <c r="B140" s="417">
        <f t="shared" si="4"/>
        <v>53.050859596567676</v>
      </c>
      <c r="C140" s="487">
        <f>'Inner Vessel Shell Thickness'!C60</f>
        <v>180470.83199999997</v>
      </c>
      <c r="D140" s="696">
        <f>D139-'Main Dimensions Calcs'!I8</f>
        <v>350</v>
      </c>
      <c r="E140" s="696">
        <f>'Main Dimensions Calcs'!H9</f>
        <v>8</v>
      </c>
      <c r="F140" s="417">
        <f t="shared" si="5"/>
        <v>34.337651186798624</v>
      </c>
      <c r="G140" s="570">
        <f>'Allowable Stresses'!$G$31:$H$31*1.33/F140</f>
        <v>6.0086344491062942</v>
      </c>
      <c r="H140" s="5"/>
      <c r="I140" s="437">
        <f t="shared" si="6"/>
        <v>30448.320648202662</v>
      </c>
      <c r="J140" s="437">
        <f t="shared" si="7"/>
        <v>53.050859596567676</v>
      </c>
      <c r="K140" s="721">
        <f>'Inner Vessel Shell Thickness'!K60</f>
        <v>180470.83199999997</v>
      </c>
      <c r="L140" s="722">
        <f t="shared" si="8"/>
        <v>13.779527559055119</v>
      </c>
      <c r="M140" s="722">
        <f t="shared" si="9"/>
        <v>0.31496062992125984</v>
      </c>
      <c r="N140" s="699">
        <f t="shared" si="10"/>
        <v>4980.3329281332717</v>
      </c>
      <c r="O140" s="700">
        <f t="shared" si="11"/>
        <v>6.0086344491062942</v>
      </c>
      <c r="P140" s="5" t="str">
        <f t="shared" si="12"/>
        <v>OK</v>
      </c>
      <c r="Q140" s="5"/>
      <c r="R140" s="5"/>
      <c r="S140" s="5"/>
      <c r="T140" s="5"/>
      <c r="U140" s="5"/>
      <c r="V140" s="5"/>
      <c r="W140" s="5"/>
      <c r="X140" s="5"/>
      <c r="Y140" s="5"/>
    </row>
    <row r="141" spans="1:25" x14ac:dyDescent="0.2">
      <c r="A141" s="417">
        <f t="shared" si="3"/>
        <v>-143551.37391076115</v>
      </c>
      <c r="B141" s="417">
        <f t="shared" si="4"/>
        <v>68.350904717881534</v>
      </c>
      <c r="C141" s="487">
        <f>'Inner Vessel Shell Thickness'!C61</f>
        <v>151925</v>
      </c>
      <c r="D141" s="696">
        <f>D140-'Main Dimensions Calcs'!I9</f>
        <v>-1650</v>
      </c>
      <c r="E141" s="696">
        <f>'Main Dimensions Calcs'!H10</f>
        <v>8</v>
      </c>
      <c r="F141" s="417">
        <f t="shared" si="5"/>
        <v>39.240060032893346</v>
      </c>
      <c r="G141" s="570">
        <f>'Allowable Stresses'!$G$31:$H$31*1.33/F141</f>
        <v>5.2579530624938435</v>
      </c>
      <c r="H141" s="5"/>
      <c r="I141" s="437">
        <f t="shared" si="6"/>
        <v>-143551.37391076115</v>
      </c>
      <c r="J141" s="437">
        <f t="shared" si="7"/>
        <v>68.350904717881534</v>
      </c>
      <c r="K141" s="721">
        <f>'Inner Vessel Shell Thickness'!K61</f>
        <v>151925</v>
      </c>
      <c r="L141" s="722">
        <f t="shared" si="8"/>
        <v>-64.960629921259851</v>
      </c>
      <c r="M141" s="722">
        <f t="shared" si="9"/>
        <v>0.31496062992125984</v>
      </c>
      <c r="N141" s="699">
        <f t="shared" si="10"/>
        <v>5691.3783071708503</v>
      </c>
      <c r="O141" s="700">
        <f t="shared" si="11"/>
        <v>5.2579530624938435</v>
      </c>
      <c r="P141" s="5" t="str">
        <f t="shared" si="12"/>
        <v>OK</v>
      </c>
      <c r="Q141" s="5"/>
      <c r="R141" s="5"/>
      <c r="S141" s="5"/>
      <c r="T141" s="5"/>
      <c r="U141" s="5"/>
      <c r="V141" s="5"/>
      <c r="W141" s="5"/>
      <c r="X141" s="5"/>
      <c r="Y141" s="5"/>
    </row>
    <row r="142" spans="1:25" x14ac:dyDescent="0.2">
      <c r="A142" s="417">
        <f t="shared" si="3"/>
        <v>-274065.92573558399</v>
      </c>
      <c r="B142" s="417">
        <f t="shared" si="4"/>
        <v>85.465340450750787</v>
      </c>
      <c r="C142" s="487">
        <f>'Inner Vessel Shell Thickness'!C62</f>
        <v>151925</v>
      </c>
      <c r="D142" s="696">
        <f>D141-'Main Dimensions Calcs'!I10</f>
        <v>-3150</v>
      </c>
      <c r="E142" s="696">
        <f>'Main Dimensions Calcs'!H11</f>
        <v>0</v>
      </c>
      <c r="F142" s="417" t="e">
        <f t="shared" si="5"/>
        <v>#DIV/0!</v>
      </c>
      <c r="G142" s="570" t="e">
        <f>'Allowable Stresses'!$G$31:$H$31*1.33/F142</f>
        <v>#DIV/0!</v>
      </c>
      <c r="H142" s="5"/>
      <c r="I142" s="437">
        <f t="shared" si="6"/>
        <v>-274065.92573558399</v>
      </c>
      <c r="J142" s="437">
        <f t="shared" si="7"/>
        <v>85.465340450750787</v>
      </c>
      <c r="K142" s="721">
        <f>'Inner Vessel Shell Thickness'!K62</f>
        <v>151925</v>
      </c>
      <c r="L142" s="722">
        <f t="shared" si="8"/>
        <v>-124.01574803149607</v>
      </c>
      <c r="M142" s="722">
        <f t="shared" si="9"/>
        <v>0</v>
      </c>
      <c r="N142" s="699" t="e">
        <f t="shared" si="10"/>
        <v>#DIV/0!</v>
      </c>
      <c r="O142" s="700" t="e">
        <f t="shared" si="11"/>
        <v>#DIV/0!</v>
      </c>
      <c r="P142" s="5" t="e">
        <f t="shared" si="12"/>
        <v>#DIV/0!</v>
      </c>
      <c r="Q142" s="5"/>
      <c r="R142" s="5"/>
      <c r="S142" s="5"/>
      <c r="T142" s="5"/>
      <c r="U142" s="5"/>
      <c r="V142" s="5"/>
      <c r="W142" s="5"/>
      <c r="X142" s="5"/>
      <c r="Y142" s="5"/>
    </row>
    <row r="143" spans="1:25" x14ac:dyDescent="0.2">
      <c r="A143" s="417">
        <f t="shared" si="3"/>
        <v>-274065.92573558399</v>
      </c>
      <c r="B143" s="417">
        <f t="shared" si="4"/>
        <v>85.465340450750787</v>
      </c>
      <c r="C143" s="487">
        <f>'Inner Vessel Shell Thickness'!C63</f>
        <v>151925</v>
      </c>
      <c r="D143" s="696">
        <f>D142-'Main Dimensions Calcs'!I11</f>
        <v>-3150</v>
      </c>
      <c r="E143" s="696">
        <f>'Main Dimensions Calcs'!H12</f>
        <v>0</v>
      </c>
      <c r="F143" s="417" t="e">
        <f t="shared" si="5"/>
        <v>#DIV/0!</v>
      </c>
      <c r="G143" s="570" t="e">
        <f>'Allowable Stresses'!$G$31:$H$31*1.33/F143</f>
        <v>#DIV/0!</v>
      </c>
      <c r="H143" s="5"/>
      <c r="I143" s="437">
        <f t="shared" si="6"/>
        <v>-274065.92573558399</v>
      </c>
      <c r="J143" s="437">
        <f t="shared" si="7"/>
        <v>85.465340450750787</v>
      </c>
      <c r="K143" s="721">
        <f>'Inner Vessel Shell Thickness'!K63</f>
        <v>151925</v>
      </c>
      <c r="L143" s="722">
        <f t="shared" si="8"/>
        <v>-124.01574803149607</v>
      </c>
      <c r="M143" s="722">
        <f t="shared" si="9"/>
        <v>0</v>
      </c>
      <c r="N143" s="699" t="e">
        <f t="shared" si="10"/>
        <v>#DIV/0!</v>
      </c>
      <c r="O143" s="700" t="e">
        <f t="shared" si="11"/>
        <v>#DIV/0!</v>
      </c>
      <c r="P143" s="5" t="e">
        <f t="shared" si="12"/>
        <v>#DIV/0!</v>
      </c>
      <c r="Q143" s="5"/>
      <c r="R143" s="5"/>
      <c r="S143" s="5"/>
      <c r="T143" s="5"/>
      <c r="U143" s="5"/>
      <c r="V143" s="5"/>
      <c r="W143" s="5"/>
      <c r="X143" s="5"/>
      <c r="Y143" s="5"/>
    </row>
    <row r="144" spans="1:25" x14ac:dyDescent="0.2">
      <c r="A144" s="417">
        <f t="shared" si="3"/>
        <v>-274065.92573558399</v>
      </c>
      <c r="B144" s="417">
        <f t="shared" si="4"/>
        <v>85.465340450750787</v>
      </c>
      <c r="C144" s="487">
        <f>'Inner Vessel Shell Thickness'!C64</f>
        <v>151925</v>
      </c>
      <c r="D144" s="696">
        <f>D143-'Main Dimensions Calcs'!I12</f>
        <v>-3150</v>
      </c>
      <c r="E144" s="696">
        <f>'Main Dimensions Calcs'!H13</f>
        <v>0</v>
      </c>
      <c r="F144" s="417" t="e">
        <f t="shared" si="5"/>
        <v>#DIV/0!</v>
      </c>
      <c r="G144" s="570" t="e">
        <f>'Allowable Stresses'!$G$31:$H$31*1.33/F144</f>
        <v>#DIV/0!</v>
      </c>
      <c r="H144" s="5"/>
      <c r="I144" s="437">
        <f t="shared" si="6"/>
        <v>-274065.92573558399</v>
      </c>
      <c r="J144" s="437">
        <f t="shared" si="7"/>
        <v>85.465340450750787</v>
      </c>
      <c r="K144" s="721">
        <f>'Inner Vessel Shell Thickness'!K64</f>
        <v>151925</v>
      </c>
      <c r="L144" s="722">
        <f t="shared" si="8"/>
        <v>-124.01574803149607</v>
      </c>
      <c r="M144" s="722">
        <f t="shared" si="9"/>
        <v>0</v>
      </c>
      <c r="N144" s="699" t="e">
        <f t="shared" si="10"/>
        <v>#DIV/0!</v>
      </c>
      <c r="O144" s="700" t="e">
        <f t="shared" si="11"/>
        <v>#DIV/0!</v>
      </c>
      <c r="P144" s="5" t="e">
        <f t="shared" si="12"/>
        <v>#DIV/0!</v>
      </c>
      <c r="Q144" s="5"/>
      <c r="R144" s="5"/>
      <c r="S144" s="5"/>
      <c r="T144" s="5"/>
      <c r="U144" s="5"/>
      <c r="V144" s="5"/>
      <c r="W144" s="5"/>
      <c r="X144" s="5"/>
      <c r="Y144" s="5"/>
    </row>
    <row r="145" spans="1:25" x14ac:dyDescent="0.2">
      <c r="A145" s="417">
        <f t="shared" si="3"/>
        <v>-274065.92573558399</v>
      </c>
      <c r="B145" s="417">
        <f t="shared" si="4"/>
        <v>85.465340450750787</v>
      </c>
      <c r="C145" s="487">
        <f>'Inner Vessel Shell Thickness'!C65</f>
        <v>151925</v>
      </c>
      <c r="D145" s="696">
        <f>D144-'Main Dimensions Calcs'!I13</f>
        <v>-3150</v>
      </c>
      <c r="E145" s="696">
        <f>'Main Dimensions Calcs'!H14</f>
        <v>0</v>
      </c>
      <c r="F145" s="417" t="e">
        <f t="shared" si="5"/>
        <v>#DIV/0!</v>
      </c>
      <c r="G145" s="570" t="e">
        <f>'Allowable Stresses'!$G$31:$H$31*1.33/F145</f>
        <v>#DIV/0!</v>
      </c>
      <c r="H145" s="5"/>
      <c r="I145" s="437">
        <f t="shared" si="6"/>
        <v>-274065.92573558399</v>
      </c>
      <c r="J145" s="437">
        <f t="shared" si="7"/>
        <v>85.465340450750787</v>
      </c>
      <c r="K145" s="721">
        <f>'Inner Vessel Shell Thickness'!K65</f>
        <v>151925</v>
      </c>
      <c r="L145" s="722">
        <f t="shared" si="8"/>
        <v>-124.01574803149607</v>
      </c>
      <c r="M145" s="722">
        <f t="shared" si="9"/>
        <v>0</v>
      </c>
      <c r="N145" s="699" t="e">
        <f t="shared" si="10"/>
        <v>#DIV/0!</v>
      </c>
      <c r="O145" s="700" t="e">
        <f t="shared" si="11"/>
        <v>#DIV/0!</v>
      </c>
      <c r="P145" s="5" t="e">
        <f t="shared" si="12"/>
        <v>#DIV/0!</v>
      </c>
      <c r="Q145" s="5"/>
      <c r="R145" s="5"/>
      <c r="S145" s="5"/>
      <c r="T145" s="5"/>
      <c r="U145" s="5"/>
      <c r="V145" s="5"/>
      <c r="W145" s="5"/>
      <c r="X145" s="5"/>
      <c r="Y145" s="5"/>
    </row>
    <row r="146" spans="1:25" x14ac:dyDescent="0.2">
      <c r="A146" s="417">
        <f t="shared" si="3"/>
        <v>-274065.92573558399</v>
      </c>
      <c r="B146" s="417">
        <f t="shared" si="4"/>
        <v>85.465340450750787</v>
      </c>
      <c r="C146" s="487">
        <f>'Inner Vessel Shell Thickness'!C66</f>
        <v>0</v>
      </c>
      <c r="D146" s="696">
        <f>D145-'Main Dimensions Calcs'!J16</f>
        <v>-3150</v>
      </c>
      <c r="E146" s="696">
        <f>'Main Dimensions Calcs'!H15</f>
        <v>0</v>
      </c>
      <c r="F146" s="417" t="e">
        <f t="shared" si="5"/>
        <v>#DIV/0!</v>
      </c>
      <c r="G146" s="570" t="e">
        <f>'Allowable Stresses'!$G$31:$H$31*1.33/F146</f>
        <v>#DIV/0!</v>
      </c>
      <c r="H146" s="5"/>
      <c r="I146" s="437">
        <f t="shared" si="6"/>
        <v>-274065.92573558399</v>
      </c>
      <c r="J146" s="437">
        <f t="shared" si="7"/>
        <v>85.465340450750787</v>
      </c>
      <c r="K146" s="721">
        <f>'Inner Vessel Shell Thickness'!K66</f>
        <v>0</v>
      </c>
      <c r="L146" s="722">
        <f t="shared" si="8"/>
        <v>-124.01574803149607</v>
      </c>
      <c r="M146" s="722">
        <f t="shared" si="9"/>
        <v>0</v>
      </c>
      <c r="N146" s="699" t="e">
        <f t="shared" si="10"/>
        <v>#DIV/0!</v>
      </c>
      <c r="O146" s="700" t="e">
        <f t="shared" si="11"/>
        <v>#DIV/0!</v>
      </c>
      <c r="P146" s="5" t="e">
        <f t="shared" si="12"/>
        <v>#DIV/0!</v>
      </c>
      <c r="Q146" s="5"/>
      <c r="R146" s="5"/>
      <c r="S146" s="5"/>
      <c r="T146" s="5"/>
      <c r="U146" s="5"/>
      <c r="V146" s="5"/>
      <c r="W146" s="5"/>
      <c r="X146" s="5"/>
      <c r="Y146" s="5"/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0.25" customHeight="1" x14ac:dyDescent="0.3">
      <c r="A148" s="63" t="s">
        <v>2133</v>
      </c>
      <c r="B148" s="5"/>
      <c r="C148" s="5"/>
      <c r="D148" s="5"/>
      <c r="E148" s="5"/>
      <c r="F148" s="5"/>
      <c r="G148" s="5"/>
      <c r="H148" s="5"/>
      <c r="I148" s="63" t="s">
        <v>2133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x14ac:dyDescent="0.2">
      <c r="A150" s="5" t="s">
        <v>2134</v>
      </c>
      <c r="B150" s="265">
        <f>0.42*B36*B58</f>
        <v>0.75277821374170084</v>
      </c>
      <c r="C150" s="5" t="s">
        <v>2135</v>
      </c>
      <c r="D150" s="5"/>
      <c r="E150" s="5"/>
      <c r="F150" s="5"/>
      <c r="G150" s="5"/>
      <c r="H150" s="5"/>
      <c r="I150" s="5" t="s">
        <v>2134</v>
      </c>
      <c r="J150" s="635">
        <f>B150*1000/25.4</f>
        <v>29.636937548885861</v>
      </c>
      <c r="K150" s="64" t="s">
        <v>2136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x14ac:dyDescent="0.2">
      <c r="A151" s="5" t="s">
        <v>2137</v>
      </c>
      <c r="B151" s="265">
        <f>B150</f>
        <v>0.75277821374170084</v>
      </c>
      <c r="C151" s="5" t="s">
        <v>2138</v>
      </c>
      <c r="D151" s="5"/>
      <c r="E151" s="5"/>
      <c r="F151" s="5"/>
      <c r="G151" s="5"/>
      <c r="H151" s="5"/>
      <c r="I151" s="5" t="s">
        <v>2137</v>
      </c>
      <c r="J151" s="635">
        <f>B151*1000/25.4</f>
        <v>29.636937548885861</v>
      </c>
      <c r="K151" s="64" t="s">
        <v>2139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x14ac:dyDescent="0.2">
      <c r="A152" s="571" t="s">
        <v>2140</v>
      </c>
      <c r="B152" s="571">
        <f>('Main Dimensions Calcs'!D50-'Main Dimensions Calcs'!D51)/1000</f>
        <v>2.85</v>
      </c>
      <c r="C152" s="571" t="s">
        <v>2141</v>
      </c>
      <c r="D152" s="571"/>
      <c r="E152" s="571"/>
      <c r="F152" s="571"/>
      <c r="G152" s="571"/>
      <c r="H152" s="571"/>
      <c r="I152" s="571" t="s">
        <v>2140</v>
      </c>
      <c r="J152" s="635">
        <f>B152*1000/25.4</f>
        <v>112.20472440944883</v>
      </c>
      <c r="K152" s="571" t="s">
        <v>2142</v>
      </c>
      <c r="L152" s="571"/>
      <c r="M152" s="571"/>
      <c r="N152" s="571"/>
      <c r="O152" s="571"/>
      <c r="P152" s="571"/>
      <c r="Q152" s="5"/>
      <c r="R152" s="5"/>
      <c r="S152" s="5"/>
      <c r="T152" s="5"/>
      <c r="U152" s="5"/>
      <c r="V152" s="5"/>
      <c r="W152" s="5"/>
      <c r="X152" s="5"/>
      <c r="Y152" s="5"/>
    </row>
    <row r="153" spans="1:25" x14ac:dyDescent="0.2">
      <c r="A153" s="571"/>
      <c r="B153" s="693">
        <f>B152/B151</f>
        <v>3.7859756671676399</v>
      </c>
      <c r="C153" s="694" t="str">
        <f>IF(B153&gt;1,"OK","ERROR")</f>
        <v>OK</v>
      </c>
      <c r="D153" s="571" t="s">
        <v>2143</v>
      </c>
      <c r="E153" s="571"/>
      <c r="F153" s="571"/>
      <c r="G153" s="571"/>
      <c r="H153" s="571"/>
      <c r="I153" s="571"/>
      <c r="J153" s="701">
        <f>J152/J151</f>
        <v>3.7859756671676399</v>
      </c>
      <c r="K153" s="694" t="str">
        <f>IF(J153&gt;1,"OK","ERROR")</f>
        <v>OK</v>
      </c>
      <c r="L153" s="571" t="s">
        <v>2143</v>
      </c>
      <c r="M153" s="571"/>
      <c r="N153" s="571"/>
      <c r="O153" s="571"/>
      <c r="P153" s="571"/>
      <c r="Q153" s="5"/>
      <c r="R153" s="5"/>
      <c r="S153" s="5"/>
      <c r="T153" s="5"/>
      <c r="U153" s="5" t="s">
        <v>196</v>
      </c>
      <c r="V153" s="5">
        <f>V154-V155-V156/2</f>
        <v>290</v>
      </c>
      <c r="W153" s="5"/>
      <c r="X153" s="5"/>
      <c r="Y153" s="5"/>
    </row>
    <row r="154" spans="1:25" x14ac:dyDescent="0.2">
      <c r="A154" s="571"/>
      <c r="B154" s="571"/>
      <c r="C154" s="571"/>
      <c r="D154" s="571"/>
      <c r="E154" s="571"/>
      <c r="F154" s="571"/>
      <c r="G154" s="571"/>
      <c r="H154" s="571"/>
      <c r="I154" s="571"/>
      <c r="J154" s="571"/>
      <c r="K154" s="571"/>
      <c r="L154" s="571"/>
      <c r="M154" s="571"/>
      <c r="N154" s="571"/>
      <c r="O154" s="571"/>
      <c r="P154" s="571"/>
      <c r="Q154" s="5"/>
      <c r="R154" s="5"/>
      <c r="S154" s="5"/>
      <c r="T154" s="5"/>
      <c r="U154" s="5" t="s">
        <v>1427</v>
      </c>
      <c r="V154" s="5">
        <f>'Main Dimensions Calcs'!E86*1000</f>
        <v>900</v>
      </c>
      <c r="W154" s="5"/>
      <c r="X154" s="5"/>
      <c r="Y154" s="5"/>
    </row>
    <row r="155" spans="1:25" x14ac:dyDescent="0.2">
      <c r="A155" s="571"/>
      <c r="B155" s="571"/>
      <c r="C155" s="571"/>
      <c r="D155" s="571"/>
      <c r="E155" s="571"/>
      <c r="F155" s="571"/>
      <c r="G155" s="571"/>
      <c r="H155" s="571"/>
      <c r="I155" s="571"/>
      <c r="J155" s="571"/>
      <c r="K155" s="571"/>
      <c r="L155" s="571"/>
      <c r="M155" s="571"/>
      <c r="N155" s="571"/>
      <c r="O155" s="571"/>
      <c r="P155" s="571"/>
      <c r="Q155" s="5"/>
      <c r="R155" s="5"/>
      <c r="S155" s="5"/>
      <c r="T155" s="5"/>
      <c r="U155" s="5" t="s">
        <v>2144</v>
      </c>
      <c r="V155" s="5">
        <f>'Main Dimensions Calcs'!E87</f>
        <v>320</v>
      </c>
      <c r="W155" s="5"/>
      <c r="X155" s="5"/>
      <c r="Y155" s="5"/>
    </row>
    <row r="156" spans="1:25" x14ac:dyDescent="0.2">
      <c r="A156" s="571"/>
      <c r="B156" s="571"/>
      <c r="C156" s="571"/>
      <c r="D156" s="571"/>
      <c r="E156" s="571"/>
      <c r="F156" s="571"/>
      <c r="G156" s="571"/>
      <c r="H156" s="571"/>
      <c r="I156" s="571"/>
      <c r="J156" s="571"/>
      <c r="K156" s="571"/>
      <c r="L156" s="571"/>
      <c r="M156" s="571"/>
      <c r="N156" s="571"/>
      <c r="O156" s="571"/>
      <c r="P156" s="571"/>
      <c r="Q156" s="5"/>
      <c r="R156" s="5"/>
      <c r="S156" s="5"/>
      <c r="T156" s="5"/>
      <c r="U156" s="5" t="s">
        <v>2145</v>
      </c>
      <c r="V156" s="5">
        <f>V154-V155</f>
        <v>580</v>
      </c>
      <c r="W156" s="5"/>
      <c r="X156" s="5"/>
      <c r="Y156" s="5"/>
    </row>
    <row r="157" spans="1:25" x14ac:dyDescent="0.2">
      <c r="A157" s="571"/>
      <c r="B157" s="571"/>
      <c r="C157" s="571"/>
      <c r="D157" s="571"/>
      <c r="E157" s="571"/>
      <c r="F157" s="571"/>
      <c r="G157" s="571"/>
      <c r="H157" s="571"/>
      <c r="I157" s="571"/>
      <c r="J157" s="571"/>
      <c r="K157" s="571"/>
      <c r="L157" s="571"/>
      <c r="M157" s="571"/>
      <c r="N157" s="571"/>
      <c r="O157" s="571"/>
      <c r="P157" s="571"/>
      <c r="Q157" s="5"/>
      <c r="R157" s="5"/>
      <c r="S157" s="5"/>
      <c r="T157" s="5"/>
      <c r="U157" s="5" t="s">
        <v>2146</v>
      </c>
      <c r="V157" s="5">
        <f>'Loads on slab'!B24*'Loads on slab'!B25/'Loads on slab'!B11*9.8/1000000</f>
        <v>3.4445039999999996E-2</v>
      </c>
      <c r="W157" s="5"/>
      <c r="X157" s="5"/>
      <c r="Y157" s="5"/>
    </row>
    <row r="158" spans="1:25" ht="13.5" customHeight="1" thickBot="1" x14ac:dyDescent="0.25">
      <c r="A158" s="571"/>
      <c r="B158" s="571"/>
      <c r="C158" s="571"/>
      <c r="D158" s="571"/>
      <c r="E158" s="571"/>
      <c r="F158" s="571"/>
      <c r="G158" s="571"/>
      <c r="H158" s="571"/>
      <c r="I158" s="571"/>
      <c r="J158" s="571"/>
      <c r="K158" s="571"/>
      <c r="L158" s="571"/>
      <c r="M158" s="571"/>
      <c r="N158" s="571"/>
      <c r="O158" s="571"/>
      <c r="P158" s="571"/>
      <c r="Q158" s="5"/>
      <c r="R158" s="5"/>
      <c r="S158" s="5"/>
      <c r="T158" s="5"/>
      <c r="U158" s="5" t="s">
        <v>2101</v>
      </c>
      <c r="V158" s="265">
        <f>B106*B30</f>
        <v>40.363954023560915</v>
      </c>
      <c r="W158" s="5"/>
      <c r="X158" s="5"/>
      <c r="Y158" s="5"/>
    </row>
    <row r="159" spans="1:25" ht="17.25" customHeight="1" thickTop="1" thickBot="1" x14ac:dyDescent="0.3">
      <c r="A159" s="28"/>
      <c r="B159" s="4"/>
      <c r="C159" s="408"/>
      <c r="D159" s="934" t="str">
        <f>'Front Page'!$A$13</f>
        <v>Mechanical  Calculations</v>
      </c>
      <c r="E159" s="842"/>
      <c r="F159" s="842"/>
      <c r="G159" s="842"/>
      <c r="H159" s="859"/>
      <c r="I159" s="28"/>
      <c r="J159" s="4"/>
      <c r="K159" s="408"/>
      <c r="L159" s="934" t="str">
        <f>'Front Page'!$A$13</f>
        <v>Mechanical  Calculations</v>
      </c>
      <c r="M159" s="842"/>
      <c r="N159" s="842"/>
      <c r="O159" s="842"/>
      <c r="P159" s="859"/>
      <c r="Q159" s="5"/>
      <c r="R159" s="5"/>
      <c r="S159" s="5"/>
      <c r="T159" s="5"/>
      <c r="U159" s="5" t="s">
        <v>1119</v>
      </c>
      <c r="V159" s="5">
        <f>V156*V157</f>
        <v>19.978123199999999</v>
      </c>
      <c r="W159" s="5" t="s">
        <v>2147</v>
      </c>
      <c r="X159" s="5"/>
      <c r="Y159" s="5"/>
    </row>
    <row r="160" spans="1:25" ht="16.5" customHeight="1" thickBot="1" x14ac:dyDescent="0.3">
      <c r="A160" s="6"/>
      <c r="B160" s="5"/>
      <c r="C160" s="14"/>
      <c r="D160" s="984"/>
      <c r="E160" s="831"/>
      <c r="F160" s="831"/>
      <c r="G160" s="831"/>
      <c r="H160" s="854"/>
      <c r="I160" s="6"/>
      <c r="J160" s="5"/>
      <c r="K160" s="14"/>
      <c r="L160" s="984"/>
      <c r="M160" s="831"/>
      <c r="N160" s="831"/>
      <c r="O160" s="831"/>
      <c r="P160" s="854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6.5" customHeight="1" thickBot="1" x14ac:dyDescent="0.3">
      <c r="A161" s="8"/>
      <c r="B161" s="9"/>
      <c r="C161" s="409"/>
      <c r="D161" s="985" t="s">
        <v>1954</v>
      </c>
      <c r="E161" s="834"/>
      <c r="F161" s="834"/>
      <c r="G161" s="834"/>
      <c r="H161" s="986"/>
      <c r="I161" s="8"/>
      <c r="J161" s="9"/>
      <c r="K161" s="409"/>
      <c r="L161" s="985" t="s">
        <v>1954</v>
      </c>
      <c r="M161" s="834"/>
      <c r="N161" s="834"/>
      <c r="O161" s="834"/>
      <c r="P161" s="986"/>
      <c r="Q161" s="5"/>
      <c r="R161" s="5"/>
      <c r="S161" s="5"/>
      <c r="T161" s="5"/>
      <c r="U161" s="5" t="s">
        <v>2148</v>
      </c>
      <c r="V161" s="265">
        <f>V159+V158</f>
        <v>60.342077223560914</v>
      </c>
      <c r="W161" s="5" t="s">
        <v>2149</v>
      </c>
      <c r="X161" s="5"/>
      <c r="Y161" s="5"/>
    </row>
    <row r="162" spans="1:25" ht="16.5" customHeight="1" thickTop="1" thickBot="1" x14ac:dyDescent="0.3">
      <c r="A162" s="873"/>
      <c r="B162" s="848"/>
      <c r="C162" s="865"/>
      <c r="D162" s="385" t="str">
        <f>'Front Page'!$D$4</f>
        <v>Doc Nº</v>
      </c>
      <c r="E162" s="980"/>
      <c r="F162" s="843"/>
      <c r="G162" s="980"/>
      <c r="H162" s="843"/>
      <c r="I162" s="873"/>
      <c r="J162" s="848"/>
      <c r="K162" s="865"/>
      <c r="L162" s="385" t="str">
        <f>'Front Page'!$D$4</f>
        <v>Doc Nº</v>
      </c>
      <c r="M162" s="980"/>
      <c r="N162" s="843"/>
      <c r="O162" s="980"/>
      <c r="P162" s="843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.75" customHeight="1" thickBot="1" x14ac:dyDescent="0.3">
      <c r="A163" s="860"/>
      <c r="B163" s="851"/>
      <c r="C163" s="861"/>
      <c r="D163" s="386" t="str">
        <f>'Front Page'!$D$5</f>
        <v>Project</v>
      </c>
      <c r="E163" s="899"/>
      <c r="F163" s="835"/>
      <c r="G163" s="131" t="s">
        <v>5</v>
      </c>
      <c r="H163" s="132"/>
      <c r="I163" s="860"/>
      <c r="J163" s="851"/>
      <c r="K163" s="861"/>
      <c r="L163" s="386" t="str">
        <f>'Front Page'!$D$5</f>
        <v>Project</v>
      </c>
      <c r="M163" s="899"/>
      <c r="N163" s="835"/>
      <c r="O163" s="131" t="s">
        <v>5</v>
      </c>
      <c r="P163" s="427"/>
      <c r="Q163" s="5"/>
      <c r="R163" s="5"/>
      <c r="S163" s="5"/>
      <c r="T163" s="5"/>
      <c r="U163" s="5" t="s">
        <v>158</v>
      </c>
      <c r="V163" s="5">
        <f>V158*V153/(V159+V158)</f>
        <v>193.98647188536236</v>
      </c>
      <c r="W163" s="5"/>
      <c r="X163" s="5"/>
      <c r="Y163" s="5"/>
    </row>
    <row r="164" spans="1:25" ht="13.5" customHeight="1" thickTop="1" x14ac:dyDescent="0.2">
      <c r="A164" s="571"/>
      <c r="B164" s="571"/>
      <c r="C164" s="571"/>
      <c r="D164" s="571"/>
      <c r="E164" s="571"/>
      <c r="F164" s="571"/>
      <c r="G164" s="571"/>
      <c r="H164" s="571"/>
      <c r="I164" s="571"/>
      <c r="J164" s="571"/>
      <c r="K164" s="571"/>
      <c r="L164" s="571"/>
      <c r="M164" s="571"/>
      <c r="N164" s="571"/>
      <c r="O164" s="571"/>
      <c r="P164" s="571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0.25" customHeight="1" x14ac:dyDescent="0.3">
      <c r="A165" s="702" t="s">
        <v>2202</v>
      </c>
      <c r="B165" s="571"/>
      <c r="C165" s="571"/>
      <c r="D165" s="571"/>
      <c r="E165" s="571"/>
      <c r="F165" s="571"/>
      <c r="G165" s="571"/>
      <c r="H165" s="571"/>
      <c r="I165" s="702" t="s">
        <v>2203</v>
      </c>
      <c r="J165" s="571"/>
      <c r="K165" s="571"/>
      <c r="L165" s="571"/>
      <c r="M165" s="571"/>
      <c r="N165" s="571"/>
      <c r="O165" s="571"/>
      <c r="P165" s="571"/>
      <c r="Q165" s="5"/>
      <c r="R165" s="5"/>
      <c r="S165" s="5"/>
      <c r="T165" s="5"/>
      <c r="U165" s="5" t="s">
        <v>526</v>
      </c>
      <c r="V165" s="5">
        <f>V156/2+V163-V154/2</f>
        <v>33.986471885362334</v>
      </c>
      <c r="W165" s="5"/>
      <c r="X165" s="5"/>
      <c r="Y165" s="5"/>
    </row>
    <row r="166" spans="1:25" x14ac:dyDescent="0.2">
      <c r="A166" s="571"/>
      <c r="B166" s="571"/>
      <c r="C166" s="571"/>
      <c r="D166" s="571"/>
      <c r="E166" s="571"/>
      <c r="F166" s="571"/>
      <c r="G166" s="571"/>
      <c r="H166" s="571"/>
      <c r="I166" s="571"/>
      <c r="J166" s="571"/>
      <c r="K166" s="571"/>
      <c r="L166" s="571"/>
      <c r="M166" s="571"/>
      <c r="N166" s="571"/>
      <c r="O166" s="571"/>
      <c r="P166" s="571"/>
      <c r="Q166" s="5"/>
      <c r="R166" s="5"/>
      <c r="S166" s="5"/>
      <c r="T166" s="5"/>
      <c r="U166" s="5" t="s">
        <v>2152</v>
      </c>
      <c r="V166" s="5">
        <f>V154/6</f>
        <v>150</v>
      </c>
      <c r="W166" s="5"/>
      <c r="X166" s="5"/>
      <c r="Y166" s="5"/>
    </row>
    <row r="167" spans="1:25" x14ac:dyDescent="0.2">
      <c r="A167" s="1018" t="s">
        <v>2153</v>
      </c>
      <c r="B167" s="809"/>
      <c r="C167" s="809"/>
      <c r="D167" s="809"/>
      <c r="E167" s="809"/>
      <c r="F167" s="809"/>
      <c r="G167" s="809"/>
      <c r="H167" s="571"/>
      <c r="I167" s="1018" t="s">
        <v>2154</v>
      </c>
      <c r="J167" s="809"/>
      <c r="K167" s="809"/>
      <c r="L167" s="809"/>
      <c r="M167" s="809"/>
      <c r="N167" s="809"/>
      <c r="O167" s="809"/>
      <c r="P167" s="571"/>
      <c r="Q167" s="5"/>
      <c r="R167" s="5"/>
      <c r="S167" s="5"/>
      <c r="T167" s="5"/>
      <c r="U167" s="5"/>
      <c r="V167" s="5"/>
      <c r="W167" s="5"/>
      <c r="X167" s="5"/>
      <c r="Y167" s="5"/>
    </row>
    <row r="168" spans="1:25" x14ac:dyDescent="0.2">
      <c r="A168" s="809"/>
      <c r="B168" s="809"/>
      <c r="C168" s="809"/>
      <c r="D168" s="809"/>
      <c r="E168" s="809"/>
      <c r="F168" s="809"/>
      <c r="G168" s="809"/>
      <c r="H168" s="571"/>
      <c r="I168" s="809"/>
      <c r="J168" s="809"/>
      <c r="K168" s="809"/>
      <c r="L168" s="809"/>
      <c r="M168" s="809"/>
      <c r="N168" s="809"/>
      <c r="O168" s="809"/>
      <c r="P168" s="571"/>
      <c r="Q168" s="5"/>
      <c r="R168" s="5"/>
      <c r="S168" s="5"/>
      <c r="T168" s="5"/>
      <c r="U168" s="5" t="s">
        <v>2155</v>
      </c>
      <c r="V168" s="5">
        <f>V161/V154*(1+ABS(6*V165/V154))</f>
        <v>8.2237969589607801E-2</v>
      </c>
      <c r="W168" s="5" t="s">
        <v>925</v>
      </c>
      <c r="X168" s="5"/>
      <c r="Y168" s="5"/>
    </row>
    <row r="169" spans="1:25" x14ac:dyDescent="0.2">
      <c r="A169" s="571"/>
      <c r="B169" s="571"/>
      <c r="C169" s="571"/>
      <c r="D169" s="571"/>
      <c r="E169" s="571"/>
      <c r="F169" s="571"/>
      <c r="G169" s="571"/>
      <c r="H169" s="571"/>
      <c r="I169" s="571"/>
      <c r="J169" s="571"/>
      <c r="K169" s="571"/>
      <c r="L169" s="571"/>
      <c r="M169" s="571"/>
      <c r="N169" s="571"/>
      <c r="O169" s="571"/>
      <c r="P169" s="571"/>
      <c r="Q169" s="5"/>
      <c r="R169" s="5"/>
      <c r="S169" s="5"/>
      <c r="T169" s="5"/>
      <c r="U169" s="5"/>
      <c r="V169" s="5">
        <f>V168*2/0.75</f>
        <v>0.21930125223895414</v>
      </c>
      <c r="W169" s="5"/>
      <c r="X169" s="5"/>
      <c r="Y169" s="5"/>
    </row>
    <row r="170" spans="1:25" x14ac:dyDescent="0.2">
      <c r="A170" s="571"/>
      <c r="B170" s="571"/>
      <c r="C170" s="571"/>
      <c r="D170" s="571"/>
      <c r="E170" s="571"/>
      <c r="F170" s="571"/>
      <c r="G170" s="571"/>
      <c r="H170" s="571"/>
      <c r="I170" s="571"/>
      <c r="J170" s="571"/>
      <c r="K170" s="571"/>
      <c r="L170" s="571"/>
      <c r="M170" s="571"/>
      <c r="N170" s="571"/>
      <c r="O170" s="571"/>
      <c r="P170" s="571"/>
      <c r="Q170" s="5"/>
      <c r="R170" s="5"/>
      <c r="S170" s="5"/>
      <c r="T170" s="5"/>
      <c r="U170" s="5"/>
      <c r="V170" s="5"/>
      <c r="W170" s="5"/>
      <c r="X170" s="5"/>
      <c r="Y170" s="5"/>
    </row>
    <row r="171" spans="1:25" x14ac:dyDescent="0.2">
      <c r="A171" s="571" t="s">
        <v>196</v>
      </c>
      <c r="B171" s="587">
        <f>B172-B173-B174/2</f>
        <v>290</v>
      </c>
      <c r="C171" s="571" t="s">
        <v>2156</v>
      </c>
      <c r="D171" s="571"/>
      <c r="E171" s="571"/>
      <c r="F171" s="571"/>
      <c r="G171" s="571"/>
      <c r="H171" s="571"/>
      <c r="I171" s="571" t="s">
        <v>196</v>
      </c>
      <c r="J171" s="587">
        <f>B171/25.4</f>
        <v>11.41732283464567</v>
      </c>
      <c r="K171" s="571" t="s">
        <v>2157</v>
      </c>
      <c r="L171" s="571"/>
      <c r="M171" s="571"/>
      <c r="N171" s="571"/>
      <c r="O171" s="571"/>
      <c r="P171" s="571"/>
      <c r="Q171" s="5"/>
      <c r="R171" s="5"/>
      <c r="S171" s="5"/>
      <c r="T171" s="5"/>
      <c r="U171" s="5"/>
      <c r="V171" s="5"/>
      <c r="W171" s="5"/>
      <c r="X171" s="5"/>
      <c r="Y171" s="5"/>
    </row>
    <row r="172" spans="1:25" x14ac:dyDescent="0.2">
      <c r="A172" s="571" t="s">
        <v>1427</v>
      </c>
      <c r="B172" s="587">
        <f>'Main Dimensions Calcs'!E86*1000</f>
        <v>900</v>
      </c>
      <c r="C172" s="571" t="s">
        <v>2158</v>
      </c>
      <c r="D172" s="571"/>
      <c r="E172" s="571"/>
      <c r="F172" s="571"/>
      <c r="G172" s="571"/>
      <c r="H172" s="571"/>
      <c r="I172" s="571" t="s">
        <v>1427</v>
      </c>
      <c r="J172" s="587">
        <f>B172/25.4</f>
        <v>35.433070866141733</v>
      </c>
      <c r="K172" s="571" t="s">
        <v>2159</v>
      </c>
      <c r="L172" s="571"/>
      <c r="M172" s="571"/>
      <c r="N172" s="571"/>
      <c r="O172" s="571"/>
      <c r="P172" s="571"/>
      <c r="Q172" s="5"/>
      <c r="R172" s="5"/>
      <c r="S172" s="5"/>
      <c r="T172" s="5"/>
      <c r="U172" s="5"/>
      <c r="V172" s="5"/>
      <c r="W172" s="5"/>
      <c r="X172" s="5"/>
      <c r="Y172" s="5"/>
    </row>
    <row r="173" spans="1:25" x14ac:dyDescent="0.2">
      <c r="A173" s="571" t="s">
        <v>2144</v>
      </c>
      <c r="B173" s="587">
        <f>'Main Dimensions Calcs'!E87</f>
        <v>320</v>
      </c>
      <c r="C173" s="571" t="s">
        <v>2156</v>
      </c>
      <c r="D173" s="571"/>
      <c r="E173" s="571"/>
      <c r="F173" s="571"/>
      <c r="G173" s="571"/>
      <c r="H173" s="571"/>
      <c r="I173" s="571" t="s">
        <v>2144</v>
      </c>
      <c r="J173" s="587">
        <f>B173/25.4</f>
        <v>12.598425196850394</v>
      </c>
      <c r="K173" s="571" t="s">
        <v>2160</v>
      </c>
      <c r="L173" s="571"/>
      <c r="M173" s="571"/>
      <c r="N173" s="571"/>
      <c r="O173" s="571"/>
      <c r="P173" s="571"/>
      <c r="Q173" s="5"/>
      <c r="R173" s="5"/>
      <c r="S173" s="5"/>
      <c r="T173" s="5"/>
      <c r="U173" s="5"/>
      <c r="V173" s="5"/>
      <c r="W173" s="5"/>
      <c r="X173" s="5"/>
      <c r="Y173" s="5"/>
    </row>
    <row r="174" spans="1:25" x14ac:dyDescent="0.2">
      <c r="A174" s="571" t="s">
        <v>2145</v>
      </c>
      <c r="B174" s="587">
        <f>B172-B173</f>
        <v>580</v>
      </c>
      <c r="C174" s="571" t="s">
        <v>2161</v>
      </c>
      <c r="D174" s="571"/>
      <c r="E174" s="571"/>
      <c r="F174" s="571"/>
      <c r="G174" s="571"/>
      <c r="H174" s="571"/>
      <c r="I174" s="571" t="s">
        <v>2145</v>
      </c>
      <c r="J174" s="587">
        <f>B174/25.4</f>
        <v>22.834645669291341</v>
      </c>
      <c r="K174" s="571" t="s">
        <v>2160</v>
      </c>
      <c r="L174" s="571"/>
      <c r="M174" s="571"/>
      <c r="N174" s="571"/>
      <c r="O174" s="571"/>
      <c r="P174" s="571"/>
      <c r="Q174" s="5"/>
      <c r="R174" s="5"/>
      <c r="S174" s="5"/>
      <c r="T174" s="5"/>
      <c r="U174" s="5"/>
      <c r="V174" s="5"/>
      <c r="W174" s="5"/>
      <c r="X174" s="5"/>
      <c r="Y174" s="5"/>
    </row>
    <row r="175" spans="1:25" x14ac:dyDescent="0.2">
      <c r="A175" s="571" t="s">
        <v>2146</v>
      </c>
      <c r="B175" s="703">
        <f>('Loads on slab'!B25*'Loads on slab'!B24/'Loads on slab'!B11*9.8/1000000000+'Loads on slab'!B9*0.0001)</f>
        <v>4.9445039999999994E-5</v>
      </c>
      <c r="C175" s="571" t="s">
        <v>2162</v>
      </c>
      <c r="D175" s="571"/>
      <c r="E175" s="571"/>
      <c r="F175" s="571"/>
      <c r="G175" s="571"/>
      <c r="H175" s="571"/>
      <c r="I175" s="571" t="s">
        <v>2146</v>
      </c>
      <c r="J175" s="704">
        <f>B175*1000*145.04</f>
        <v>7.1715086015999994</v>
      </c>
      <c r="K175" s="571" t="s">
        <v>2163</v>
      </c>
      <c r="L175" s="571"/>
      <c r="M175" s="571"/>
      <c r="N175" s="571"/>
      <c r="O175" s="571"/>
      <c r="P175" s="571"/>
      <c r="Q175" s="5"/>
      <c r="R175" s="5"/>
      <c r="S175" s="5"/>
      <c r="T175" s="5"/>
      <c r="U175" s="5"/>
      <c r="V175" s="5"/>
      <c r="W175" s="5"/>
      <c r="X175" s="5"/>
      <c r="Y175" s="5"/>
    </row>
    <row r="176" spans="1:25" x14ac:dyDescent="0.2">
      <c r="A176" s="571" t="s">
        <v>2101</v>
      </c>
      <c r="B176" s="587">
        <f>B106*B30</f>
        <v>40.363954023560915</v>
      </c>
      <c r="C176" s="571" t="s">
        <v>2164</v>
      </c>
      <c r="D176" s="571"/>
      <c r="E176" s="571"/>
      <c r="F176" s="571"/>
      <c r="G176" s="571"/>
      <c r="H176" s="571"/>
      <c r="I176" s="571" t="s">
        <v>2101</v>
      </c>
      <c r="J176" s="704">
        <f>B176*1000*0.00571</f>
        <v>230.47817747453283</v>
      </c>
      <c r="K176" s="571" t="s">
        <v>2165</v>
      </c>
      <c r="L176" s="571"/>
      <c r="M176" s="571"/>
      <c r="N176" s="571"/>
      <c r="O176" s="571"/>
      <c r="P176" s="571"/>
      <c r="Q176" s="5"/>
      <c r="R176" s="5"/>
      <c r="S176" s="5"/>
      <c r="T176" s="5"/>
      <c r="U176" s="5"/>
      <c r="V176" s="5"/>
      <c r="W176" s="5"/>
      <c r="X176" s="5"/>
      <c r="Y176" s="5"/>
    </row>
    <row r="177" spans="1:25" x14ac:dyDescent="0.2">
      <c r="A177" s="571" t="s">
        <v>1119</v>
      </c>
      <c r="B177" s="587">
        <f>B174*B175*1000</f>
        <v>28.678123199999995</v>
      </c>
      <c r="C177" s="571" t="s">
        <v>2166</v>
      </c>
      <c r="D177" s="571"/>
      <c r="E177" s="571"/>
      <c r="F177" s="571"/>
      <c r="G177" s="571"/>
      <c r="H177" s="571"/>
      <c r="I177" s="571" t="s">
        <v>1119</v>
      </c>
      <c r="J177" s="704">
        <f>B177*1000*0.00571</f>
        <v>163.75208347199995</v>
      </c>
      <c r="K177" s="571" t="s">
        <v>2167</v>
      </c>
      <c r="L177" s="571"/>
      <c r="M177" s="571"/>
      <c r="N177" s="571"/>
      <c r="O177" s="571"/>
      <c r="P177" s="571"/>
      <c r="Q177" s="5"/>
      <c r="R177" s="5"/>
      <c r="S177" s="5"/>
      <c r="T177" s="5"/>
      <c r="U177" s="5"/>
      <c r="V177" s="5"/>
      <c r="W177" s="5"/>
      <c r="X177" s="5"/>
      <c r="Y177" s="5"/>
    </row>
    <row r="178" spans="1:25" x14ac:dyDescent="0.2">
      <c r="A178" s="571"/>
      <c r="B178" s="587"/>
      <c r="C178" s="571"/>
      <c r="D178" s="571"/>
      <c r="E178" s="571"/>
      <c r="F178" s="571"/>
      <c r="G178" s="571"/>
      <c r="H178" s="571"/>
      <c r="I178" s="571"/>
      <c r="J178" s="587"/>
      <c r="K178" s="571"/>
      <c r="L178" s="571"/>
      <c r="M178" s="571"/>
      <c r="N178" s="571"/>
      <c r="O178" s="571"/>
      <c r="P178" s="571"/>
      <c r="Q178" s="5"/>
      <c r="R178" s="5"/>
      <c r="S178" s="5"/>
      <c r="T178" s="5"/>
      <c r="U178" s="5"/>
      <c r="V178" s="5"/>
      <c r="W178" s="5"/>
      <c r="X178" s="5"/>
      <c r="Y178" s="5"/>
    </row>
    <row r="179" spans="1:25" x14ac:dyDescent="0.2">
      <c r="A179" s="571"/>
      <c r="B179" s="571"/>
      <c r="C179" s="571"/>
      <c r="D179" s="571"/>
      <c r="E179" s="571"/>
      <c r="F179" s="571"/>
      <c r="G179" s="571"/>
      <c r="H179" s="571"/>
      <c r="I179" s="571"/>
      <c r="J179" s="571"/>
      <c r="K179" s="571"/>
      <c r="L179" s="571"/>
      <c r="M179" s="571"/>
      <c r="N179" s="571"/>
      <c r="O179" s="571"/>
      <c r="P179" s="571"/>
      <c r="Q179" s="5"/>
      <c r="R179" s="5"/>
      <c r="S179" s="5"/>
      <c r="T179" s="5"/>
      <c r="U179" s="5"/>
      <c r="V179" s="5"/>
      <c r="W179" s="5"/>
      <c r="X179" s="5"/>
      <c r="Y179" s="5"/>
    </row>
    <row r="180" spans="1:25" x14ac:dyDescent="0.2">
      <c r="A180" s="571"/>
      <c r="B180" s="571"/>
      <c r="C180" s="571"/>
      <c r="D180" s="571"/>
      <c r="E180" s="571"/>
      <c r="F180" s="571"/>
      <c r="G180" s="571"/>
      <c r="H180" s="571"/>
      <c r="I180" s="571"/>
      <c r="J180" s="571"/>
      <c r="K180" s="571"/>
      <c r="L180" s="571"/>
      <c r="M180" s="571"/>
      <c r="N180" s="571"/>
      <c r="O180" s="571"/>
      <c r="P180" s="571"/>
      <c r="Q180" s="5"/>
      <c r="R180" s="5"/>
      <c r="S180" s="5"/>
      <c r="T180" s="5"/>
      <c r="U180" s="5"/>
      <c r="V180" s="5"/>
      <c r="W180" s="5"/>
      <c r="X180" s="5"/>
      <c r="Y180" s="5"/>
    </row>
    <row r="181" spans="1:25" x14ac:dyDescent="0.2">
      <c r="A181" s="571"/>
      <c r="B181" s="571"/>
      <c r="C181" s="571"/>
      <c r="D181" s="571"/>
      <c r="E181" s="571"/>
      <c r="F181" s="571"/>
      <c r="G181" s="571"/>
      <c r="H181" s="571"/>
      <c r="I181" s="571"/>
      <c r="J181" s="571"/>
      <c r="K181" s="571"/>
      <c r="L181" s="571"/>
      <c r="M181" s="571"/>
      <c r="N181" s="571"/>
      <c r="O181" s="571"/>
      <c r="P181" s="571"/>
      <c r="Q181" s="5"/>
      <c r="R181" s="5"/>
      <c r="S181" s="5"/>
      <c r="T181" s="5"/>
      <c r="U181" s="5"/>
      <c r="V181" s="5"/>
      <c r="W181" s="5"/>
      <c r="X181" s="5"/>
      <c r="Y181" s="5"/>
    </row>
    <row r="182" spans="1:25" x14ac:dyDescent="0.2">
      <c r="A182" s="571"/>
      <c r="B182" s="571"/>
      <c r="C182" s="571"/>
      <c r="D182" s="571"/>
      <c r="E182" s="571"/>
      <c r="F182" s="571"/>
      <c r="G182" s="571"/>
      <c r="H182" s="571"/>
      <c r="I182" s="571"/>
      <c r="J182" s="571"/>
      <c r="K182" s="571"/>
      <c r="L182" s="571"/>
      <c r="M182" s="571"/>
      <c r="N182" s="571"/>
      <c r="O182" s="571"/>
      <c r="P182" s="571"/>
      <c r="Q182" s="5"/>
      <c r="R182" s="5"/>
      <c r="S182" s="5"/>
      <c r="T182" s="5"/>
      <c r="U182" s="5"/>
      <c r="V182" s="5"/>
      <c r="W182" s="5"/>
      <c r="X182" s="5"/>
      <c r="Y182" s="5"/>
    </row>
    <row r="183" spans="1:25" x14ac:dyDescent="0.2">
      <c r="A183" s="571"/>
      <c r="B183" s="571"/>
      <c r="C183" s="571"/>
      <c r="D183" s="571"/>
      <c r="E183" s="571"/>
      <c r="F183" s="571"/>
      <c r="G183" s="571"/>
      <c r="H183" s="571"/>
      <c r="I183" s="571"/>
      <c r="J183" s="571"/>
      <c r="K183" s="571"/>
      <c r="L183" s="571"/>
      <c r="M183" s="571"/>
      <c r="N183" s="571"/>
      <c r="O183" s="571"/>
      <c r="P183" s="571"/>
      <c r="Q183" s="5"/>
      <c r="R183" s="5"/>
      <c r="S183" s="5"/>
      <c r="T183" s="5"/>
      <c r="U183" s="5"/>
      <c r="V183" s="5"/>
      <c r="W183" s="5"/>
      <c r="X183" s="5"/>
      <c r="Y183" s="5"/>
    </row>
    <row r="184" spans="1:25" x14ac:dyDescent="0.2">
      <c r="A184" s="571"/>
      <c r="B184" s="571"/>
      <c r="C184" s="571"/>
      <c r="D184" s="571"/>
      <c r="E184" s="571"/>
      <c r="F184" s="571"/>
      <c r="G184" s="571"/>
      <c r="H184" s="571"/>
      <c r="I184" s="571"/>
      <c r="J184" s="571"/>
      <c r="K184" s="571"/>
      <c r="L184" s="571"/>
      <c r="M184" s="571"/>
      <c r="N184" s="571"/>
      <c r="O184" s="571"/>
      <c r="P184" s="571"/>
      <c r="Q184" s="5"/>
      <c r="R184" s="5"/>
      <c r="S184" s="5"/>
      <c r="T184" s="5"/>
      <c r="U184" s="5"/>
      <c r="V184" s="5"/>
      <c r="W184" s="5"/>
      <c r="X184" s="5"/>
      <c r="Y184" s="5"/>
    </row>
    <row r="185" spans="1:25" x14ac:dyDescent="0.2">
      <c r="A185" s="571"/>
      <c r="B185" s="571"/>
      <c r="C185" s="571"/>
      <c r="D185" s="571"/>
      <c r="E185" s="571"/>
      <c r="F185" s="571"/>
      <c r="G185" s="571"/>
      <c r="H185" s="571"/>
      <c r="I185" s="571"/>
      <c r="J185" s="571"/>
      <c r="K185" s="571"/>
      <c r="L185" s="571"/>
      <c r="M185" s="571"/>
      <c r="N185" s="571"/>
      <c r="O185" s="571"/>
      <c r="P185" s="571"/>
      <c r="Q185" s="5"/>
      <c r="R185" s="5"/>
      <c r="S185" s="5"/>
      <c r="T185" s="5"/>
      <c r="U185" s="5"/>
      <c r="V185" s="5"/>
      <c r="W185" s="5"/>
      <c r="X185" s="5"/>
      <c r="Y185" s="5"/>
    </row>
    <row r="186" spans="1:25" x14ac:dyDescent="0.2">
      <c r="A186" s="571"/>
      <c r="B186" s="571"/>
      <c r="C186" s="571"/>
      <c r="D186" s="571"/>
      <c r="E186" s="571"/>
      <c r="F186" s="571"/>
      <c r="G186" s="571"/>
      <c r="H186" s="571"/>
      <c r="I186" s="571"/>
      <c r="J186" s="571"/>
      <c r="K186" s="571"/>
      <c r="L186" s="571"/>
      <c r="M186" s="571"/>
      <c r="N186" s="571"/>
      <c r="O186" s="571"/>
      <c r="P186" s="571"/>
      <c r="Q186" s="5"/>
      <c r="R186" s="5"/>
      <c r="S186" s="5"/>
      <c r="T186" s="5"/>
      <c r="U186" s="5"/>
      <c r="V186" s="5"/>
      <c r="W186" s="5"/>
      <c r="X186" s="5"/>
      <c r="Y186" s="5"/>
    </row>
    <row r="187" spans="1:25" x14ac:dyDescent="0.2">
      <c r="A187" s="571"/>
      <c r="B187" s="571"/>
      <c r="C187" s="571"/>
      <c r="D187" s="571"/>
      <c r="E187" s="571"/>
      <c r="F187" s="571"/>
      <c r="G187" s="571"/>
      <c r="H187" s="571"/>
      <c r="I187" s="571"/>
      <c r="J187" s="571"/>
      <c r="K187" s="571"/>
      <c r="L187" s="571"/>
      <c r="M187" s="571"/>
      <c r="N187" s="571"/>
      <c r="O187" s="571"/>
      <c r="P187" s="571"/>
      <c r="Q187" s="5"/>
      <c r="R187" s="5"/>
      <c r="S187" s="5"/>
      <c r="T187" s="5"/>
      <c r="U187" s="5"/>
      <c r="V187" s="5"/>
      <c r="W187" s="5"/>
      <c r="X187" s="5"/>
      <c r="Y187" s="5"/>
    </row>
    <row r="188" spans="1:25" x14ac:dyDescent="0.2">
      <c r="A188" s="571"/>
      <c r="B188" s="571"/>
      <c r="C188" s="571"/>
      <c r="D188" s="571"/>
      <c r="E188" s="571"/>
      <c r="F188" s="571"/>
      <c r="G188" s="571"/>
      <c r="H188" s="571"/>
      <c r="I188" s="571"/>
      <c r="J188" s="571"/>
      <c r="K188" s="571"/>
      <c r="L188" s="571"/>
      <c r="M188" s="571"/>
      <c r="N188" s="571"/>
      <c r="O188" s="571"/>
      <c r="P188" s="571"/>
      <c r="Q188" s="5"/>
      <c r="R188" s="5"/>
      <c r="S188" s="5"/>
      <c r="T188" s="5"/>
      <c r="U188" s="5"/>
      <c r="V188" s="5"/>
      <c r="W188" s="5"/>
      <c r="X188" s="5"/>
      <c r="Y188" s="5"/>
    </row>
    <row r="189" spans="1:25" x14ac:dyDescent="0.2">
      <c r="A189" s="571"/>
      <c r="B189" s="571"/>
      <c r="C189" s="571"/>
      <c r="D189" s="571"/>
      <c r="E189" s="571"/>
      <c r="F189" s="571"/>
      <c r="G189" s="571"/>
      <c r="H189" s="571"/>
      <c r="I189" s="571"/>
      <c r="J189" s="571"/>
      <c r="K189" s="571"/>
      <c r="L189" s="571"/>
      <c r="M189" s="571"/>
      <c r="N189" s="571"/>
      <c r="O189" s="571"/>
      <c r="P189" s="571"/>
      <c r="Q189" s="5"/>
      <c r="R189" s="5"/>
      <c r="S189" s="5"/>
      <c r="T189" s="5"/>
      <c r="U189" s="5"/>
      <c r="V189" s="5"/>
      <c r="W189" s="5"/>
      <c r="X189" s="5"/>
      <c r="Y189" s="5"/>
    </row>
    <row r="190" spans="1:25" x14ac:dyDescent="0.2">
      <c r="A190" s="571"/>
      <c r="B190" s="571"/>
      <c r="C190" s="571"/>
      <c r="D190" s="571"/>
      <c r="E190" s="571"/>
      <c r="F190" s="571"/>
      <c r="G190" s="571"/>
      <c r="H190" s="571"/>
      <c r="I190" s="571"/>
      <c r="J190" s="571"/>
      <c r="K190" s="571"/>
      <c r="L190" s="571"/>
      <c r="M190" s="571"/>
      <c r="N190" s="571"/>
      <c r="O190" s="571"/>
      <c r="P190" s="571"/>
      <c r="Q190" s="5"/>
      <c r="R190" s="5"/>
      <c r="S190" s="5"/>
      <c r="T190" s="5"/>
      <c r="U190" s="5"/>
      <c r="V190" s="5"/>
      <c r="W190" s="5"/>
      <c r="X190" s="5"/>
      <c r="Y190" s="5"/>
    </row>
    <row r="191" spans="1:25" x14ac:dyDescent="0.2">
      <c r="A191" s="571"/>
      <c r="B191" s="571"/>
      <c r="C191" s="571"/>
      <c r="D191" s="571"/>
      <c r="E191" s="571"/>
      <c r="F191" s="571"/>
      <c r="G191" s="571"/>
      <c r="H191" s="571"/>
      <c r="I191" s="571"/>
      <c r="J191" s="571"/>
      <c r="K191" s="571"/>
      <c r="L191" s="571"/>
      <c r="M191" s="571"/>
      <c r="N191" s="571"/>
      <c r="O191" s="571"/>
      <c r="P191" s="571"/>
      <c r="Q191" s="5"/>
      <c r="R191" s="5"/>
      <c r="S191" s="5"/>
      <c r="T191" s="5"/>
      <c r="U191" s="5"/>
      <c r="V191" s="5"/>
      <c r="W191" s="5"/>
      <c r="X191" s="5"/>
      <c r="Y191" s="5"/>
    </row>
    <row r="192" spans="1:25" x14ac:dyDescent="0.2">
      <c r="A192" s="571"/>
      <c r="B192" s="571"/>
      <c r="C192" s="571"/>
      <c r="D192" s="571"/>
      <c r="E192" s="571"/>
      <c r="F192" s="571"/>
      <c r="G192" s="571"/>
      <c r="H192" s="571"/>
      <c r="I192" s="571"/>
      <c r="J192" s="571"/>
      <c r="K192" s="571"/>
      <c r="L192" s="571"/>
      <c r="M192" s="571"/>
      <c r="N192" s="571"/>
      <c r="O192" s="571"/>
      <c r="P192" s="571"/>
      <c r="Q192" s="5"/>
      <c r="R192" s="5"/>
      <c r="S192" s="5"/>
      <c r="T192" s="5"/>
      <c r="U192" s="5"/>
      <c r="V192" s="5"/>
      <c r="W192" s="5"/>
      <c r="X192" s="5"/>
      <c r="Y192" s="5"/>
    </row>
    <row r="193" spans="1:25" x14ac:dyDescent="0.2">
      <c r="A193" s="571"/>
      <c r="B193" s="571"/>
      <c r="C193" s="571"/>
      <c r="D193" s="571"/>
      <c r="E193" s="571"/>
      <c r="F193" s="571"/>
      <c r="G193" s="571"/>
      <c r="H193" s="571"/>
      <c r="I193" s="571"/>
      <c r="J193" s="571"/>
      <c r="K193" s="571"/>
      <c r="L193" s="571"/>
      <c r="M193" s="571"/>
      <c r="N193" s="571"/>
      <c r="O193" s="571"/>
      <c r="P193" s="571"/>
      <c r="Q193" s="5"/>
      <c r="R193" s="5"/>
      <c r="S193" s="5"/>
      <c r="T193" s="5"/>
      <c r="U193" s="5"/>
      <c r="V193" s="5"/>
      <c r="W193" s="5"/>
      <c r="X193" s="5"/>
      <c r="Y193" s="5"/>
    </row>
    <row r="194" spans="1:25" x14ac:dyDescent="0.2">
      <c r="A194" s="571"/>
      <c r="B194" s="571"/>
      <c r="C194" s="571"/>
      <c r="D194" s="571"/>
      <c r="E194" s="571"/>
      <c r="F194" s="571"/>
      <c r="G194" s="571"/>
      <c r="H194" s="571"/>
      <c r="I194" s="571"/>
      <c r="J194" s="571"/>
      <c r="K194" s="571"/>
      <c r="L194" s="571"/>
      <c r="M194" s="571"/>
      <c r="N194" s="571"/>
      <c r="O194" s="571"/>
      <c r="P194" s="571"/>
      <c r="Q194" s="5"/>
      <c r="R194" s="5"/>
      <c r="S194" s="5"/>
      <c r="T194" s="5"/>
      <c r="U194" s="5"/>
      <c r="V194" s="5"/>
      <c r="W194" s="5"/>
      <c r="X194" s="5"/>
      <c r="Y194" s="5"/>
    </row>
    <row r="195" spans="1:25" x14ac:dyDescent="0.2">
      <c r="A195" s="571"/>
      <c r="B195" s="571"/>
      <c r="C195" s="571"/>
      <c r="D195" s="571"/>
      <c r="E195" s="571"/>
      <c r="F195" s="571"/>
      <c r="G195" s="571"/>
      <c r="H195" s="571"/>
      <c r="I195" s="571"/>
      <c r="J195" s="571"/>
      <c r="K195" s="571"/>
      <c r="L195" s="571"/>
      <c r="M195" s="571"/>
      <c r="N195" s="571"/>
      <c r="O195" s="571"/>
      <c r="P195" s="571"/>
      <c r="Q195" s="5"/>
      <c r="R195" s="5"/>
      <c r="S195" s="5"/>
      <c r="T195" s="5"/>
      <c r="U195" s="5"/>
      <c r="V195" s="5"/>
      <c r="W195" s="5"/>
      <c r="X195" s="5"/>
      <c r="Y195" s="5"/>
    </row>
    <row r="196" spans="1:25" x14ac:dyDescent="0.2">
      <c r="A196" s="571"/>
      <c r="B196" s="571"/>
      <c r="C196" s="571"/>
      <c r="D196" s="571"/>
      <c r="E196" s="571"/>
      <c r="F196" s="571"/>
      <c r="G196" s="571"/>
      <c r="H196" s="571"/>
      <c r="I196" s="571"/>
      <c r="J196" s="571"/>
      <c r="K196" s="571"/>
      <c r="L196" s="571"/>
      <c r="M196" s="571"/>
      <c r="N196" s="571"/>
      <c r="O196" s="571"/>
      <c r="P196" s="571"/>
      <c r="Q196" s="5"/>
      <c r="R196" s="5"/>
      <c r="S196" s="5"/>
      <c r="T196" s="5"/>
      <c r="U196" s="5"/>
      <c r="V196" s="5"/>
      <c r="W196" s="5"/>
      <c r="X196" s="5"/>
      <c r="Y196" s="5"/>
    </row>
    <row r="197" spans="1:25" x14ac:dyDescent="0.2">
      <c r="A197" s="571"/>
      <c r="B197" s="571"/>
      <c r="C197" s="571"/>
      <c r="D197" s="571"/>
      <c r="E197" s="571"/>
      <c r="F197" s="571"/>
      <c r="G197" s="571"/>
      <c r="H197" s="571"/>
      <c r="I197" s="571"/>
      <c r="J197" s="571"/>
      <c r="K197" s="571"/>
      <c r="L197" s="571"/>
      <c r="M197" s="571"/>
      <c r="N197" s="571"/>
      <c r="O197" s="571"/>
      <c r="P197" s="571"/>
      <c r="Q197" s="5"/>
      <c r="R197" s="5"/>
      <c r="S197" s="5"/>
      <c r="T197" s="5"/>
      <c r="U197" s="5"/>
      <c r="V197" s="5"/>
      <c r="W197" s="5"/>
      <c r="X197" s="5"/>
      <c r="Y197" s="5"/>
    </row>
    <row r="198" spans="1:25" x14ac:dyDescent="0.2">
      <c r="A198" s="571" t="s">
        <v>2148</v>
      </c>
      <c r="B198" s="587">
        <f>B177+B176</f>
        <v>69.042077223560909</v>
      </c>
      <c r="C198" s="571" t="s">
        <v>2168</v>
      </c>
      <c r="D198" s="571"/>
      <c r="E198" s="571"/>
      <c r="F198" s="571"/>
      <c r="G198" s="571"/>
      <c r="H198" s="571"/>
      <c r="I198" s="709" t="s">
        <v>2148</v>
      </c>
      <c r="J198" s="704">
        <f>B198*1000*0.00571</f>
        <v>394.23026094653272</v>
      </c>
      <c r="K198" s="571" t="s">
        <v>2169</v>
      </c>
      <c r="L198" s="571"/>
      <c r="M198" s="571"/>
      <c r="N198" s="571"/>
      <c r="O198" s="571"/>
      <c r="P198" s="571"/>
      <c r="Q198" s="5"/>
      <c r="R198" s="5"/>
      <c r="S198" s="5"/>
      <c r="T198" s="5"/>
      <c r="U198" s="5"/>
      <c r="V198" s="5"/>
      <c r="W198" s="5"/>
      <c r="X198" s="5"/>
      <c r="Y198" s="5"/>
    </row>
    <row r="199" spans="1:25" x14ac:dyDescent="0.2">
      <c r="A199" s="571"/>
      <c r="B199" s="587"/>
      <c r="C199" s="571"/>
      <c r="D199" s="571"/>
      <c r="E199" s="571"/>
      <c r="F199" s="571"/>
      <c r="G199" s="571"/>
      <c r="H199" s="571"/>
      <c r="I199" s="709"/>
      <c r="J199" s="587"/>
      <c r="K199" s="571"/>
      <c r="L199" s="571"/>
      <c r="M199" s="571"/>
      <c r="N199" s="571"/>
      <c r="O199" s="571"/>
      <c r="P199" s="571"/>
      <c r="Q199" s="5"/>
      <c r="R199" s="5"/>
      <c r="S199" s="5"/>
      <c r="T199" s="5"/>
      <c r="U199" s="5"/>
      <c r="V199" s="5"/>
      <c r="W199" s="5"/>
      <c r="X199" s="5"/>
      <c r="Y199" s="5"/>
    </row>
    <row r="200" spans="1:25" x14ac:dyDescent="0.2">
      <c r="A200" s="571" t="s">
        <v>158</v>
      </c>
      <c r="B200" s="587">
        <f>B176*B171/(B177+B176)</f>
        <v>169.54221450970621</v>
      </c>
      <c r="C200" s="571" t="s">
        <v>2170</v>
      </c>
      <c r="D200" s="571"/>
      <c r="E200" s="571"/>
      <c r="F200" s="571"/>
      <c r="G200" s="571"/>
      <c r="H200" s="571"/>
      <c r="I200" s="709" t="s">
        <v>158</v>
      </c>
      <c r="J200" s="587">
        <f>B200/25.4</f>
        <v>6.6748903350278042</v>
      </c>
      <c r="K200" s="571" t="s">
        <v>2171</v>
      </c>
      <c r="L200" s="571"/>
      <c r="M200" s="571"/>
      <c r="N200" s="571"/>
      <c r="O200" s="571"/>
      <c r="P200" s="571"/>
      <c r="Q200" s="5"/>
      <c r="R200" s="5"/>
      <c r="S200" s="5"/>
      <c r="T200" s="5"/>
      <c r="U200" s="5"/>
      <c r="V200" s="5"/>
      <c r="W200" s="5"/>
      <c r="X200" s="5"/>
      <c r="Y200" s="5"/>
    </row>
    <row r="201" spans="1:25" x14ac:dyDescent="0.2">
      <c r="A201" s="571"/>
      <c r="B201" s="587"/>
      <c r="C201" s="571"/>
      <c r="D201" s="571"/>
      <c r="E201" s="571"/>
      <c r="F201" s="571"/>
      <c r="G201" s="571"/>
      <c r="H201" s="571"/>
      <c r="I201" s="709"/>
      <c r="J201" s="587"/>
      <c r="K201" s="571"/>
      <c r="L201" s="571"/>
      <c r="M201" s="571"/>
      <c r="N201" s="571"/>
      <c r="O201" s="571"/>
      <c r="P201" s="571"/>
      <c r="Q201" s="5"/>
      <c r="R201" s="5"/>
      <c r="S201" s="5"/>
      <c r="T201" s="5"/>
      <c r="U201" s="5"/>
      <c r="V201" s="5"/>
      <c r="W201" s="5"/>
      <c r="X201" s="5"/>
      <c r="Y201" s="5"/>
    </row>
    <row r="202" spans="1:25" x14ac:dyDescent="0.2">
      <c r="A202" s="571" t="s">
        <v>526</v>
      </c>
      <c r="B202" s="587">
        <f>B174/2+B200-B172/2</f>
        <v>9.5422145097062412</v>
      </c>
      <c r="C202" s="571" t="s">
        <v>2172</v>
      </c>
      <c r="D202" s="571"/>
      <c r="E202" s="571"/>
      <c r="F202" s="571"/>
      <c r="G202" s="571"/>
      <c r="H202" s="571"/>
      <c r="I202" s="709" t="s">
        <v>526</v>
      </c>
      <c r="J202" s="587">
        <f>B202/25.4</f>
        <v>0.37567773660260795</v>
      </c>
      <c r="K202" s="571" t="s">
        <v>2173</v>
      </c>
      <c r="L202" s="571"/>
      <c r="M202" s="571"/>
      <c r="N202" s="571"/>
      <c r="O202" s="571"/>
      <c r="P202" s="571"/>
      <c r="Q202" s="5"/>
      <c r="R202" s="5"/>
      <c r="S202" s="5"/>
      <c r="T202" s="5"/>
      <c r="U202" s="5"/>
      <c r="V202" s="5"/>
      <c r="W202" s="5"/>
      <c r="X202" s="5"/>
      <c r="Y202" s="5"/>
    </row>
    <row r="203" spans="1:25" x14ac:dyDescent="0.2">
      <c r="A203" s="571" t="s">
        <v>2152</v>
      </c>
      <c r="B203" s="587">
        <f>B172/6</f>
        <v>150</v>
      </c>
      <c r="C203" s="571" t="s">
        <v>2174</v>
      </c>
      <c r="D203" s="571"/>
      <c r="E203" s="571"/>
      <c r="F203" s="571"/>
      <c r="G203" s="571"/>
      <c r="H203" s="571"/>
      <c r="I203" s="709" t="s">
        <v>2152</v>
      </c>
      <c r="J203" s="587">
        <f>B203/25.4</f>
        <v>5.9055118110236222</v>
      </c>
      <c r="K203" s="571" t="s">
        <v>2175</v>
      </c>
      <c r="L203" s="571"/>
      <c r="M203" s="571"/>
      <c r="N203" s="571"/>
      <c r="O203" s="571"/>
      <c r="P203" s="571"/>
      <c r="Q203" s="5"/>
      <c r="R203" s="5"/>
      <c r="S203" s="5"/>
      <c r="T203" s="5"/>
      <c r="U203" s="5"/>
      <c r="V203" s="5"/>
      <c r="W203" s="5"/>
      <c r="X203" s="5"/>
      <c r="Y203" s="5"/>
    </row>
    <row r="204" spans="1:25" x14ac:dyDescent="0.2">
      <c r="A204" s="571"/>
      <c r="B204" s="587"/>
      <c r="C204" s="571"/>
      <c r="D204" s="571"/>
      <c r="E204" s="571"/>
      <c r="F204" s="571"/>
      <c r="G204" s="571"/>
      <c r="H204" s="571"/>
      <c r="I204" s="709"/>
      <c r="J204" s="587"/>
      <c r="K204" s="571"/>
      <c r="L204" s="571"/>
      <c r="M204" s="571"/>
      <c r="N204" s="571"/>
      <c r="O204" s="571"/>
      <c r="P204" s="571"/>
      <c r="Q204" s="5"/>
      <c r="R204" s="5"/>
      <c r="S204" s="5"/>
      <c r="T204" s="5"/>
      <c r="U204" s="5"/>
      <c r="V204" s="5"/>
      <c r="W204" s="5"/>
      <c r="X204" s="5"/>
      <c r="Y204" s="5"/>
    </row>
    <row r="205" spans="1:25" x14ac:dyDescent="0.2">
      <c r="A205" s="571" t="s">
        <v>2176</v>
      </c>
      <c r="B205" s="433">
        <v>4</v>
      </c>
      <c r="C205" s="571" t="s">
        <v>2204</v>
      </c>
      <c r="D205" s="5"/>
      <c r="E205" s="5"/>
      <c r="F205" s="5"/>
      <c r="G205" s="5"/>
      <c r="H205" s="5"/>
      <c r="I205" s="709" t="s">
        <v>2176</v>
      </c>
      <c r="J205" s="274">
        <v>4</v>
      </c>
      <c r="K205" s="571" t="s">
        <v>2204</v>
      </c>
      <c r="L205" s="5"/>
      <c r="M205" s="5"/>
      <c r="N205" s="5"/>
      <c r="O205" s="571"/>
      <c r="P205" s="571"/>
      <c r="Q205" s="5"/>
      <c r="R205" s="5"/>
      <c r="S205" s="5"/>
      <c r="T205" s="5"/>
      <c r="U205" s="5"/>
      <c r="V205" s="5"/>
      <c r="W205" s="5"/>
      <c r="X205" s="5"/>
      <c r="Y205" s="5"/>
    </row>
    <row r="206" spans="1:25" x14ac:dyDescent="0.2">
      <c r="A206" s="571" t="s">
        <v>2155</v>
      </c>
      <c r="B206" s="587">
        <f>B198/B172*(1+ABS(6*B202/B172))</f>
        <v>8.1593525145163381E-2</v>
      </c>
      <c r="C206" s="571" t="s">
        <v>2178</v>
      </c>
      <c r="D206" s="571"/>
      <c r="E206" s="571"/>
      <c r="F206" s="571"/>
      <c r="G206" s="571"/>
      <c r="H206" s="571"/>
      <c r="I206" s="709" t="s">
        <v>2155</v>
      </c>
      <c r="J206" s="587">
        <f>B206*145.04</f>
        <v>11.834324887054496</v>
      </c>
      <c r="K206" s="571" t="s">
        <v>2179</v>
      </c>
      <c r="L206" s="571"/>
      <c r="M206" s="571"/>
      <c r="N206" s="571"/>
      <c r="O206" s="571"/>
      <c r="P206" s="571"/>
      <c r="Q206" s="5"/>
      <c r="R206" s="5"/>
      <c r="S206" s="5"/>
      <c r="T206" s="5"/>
      <c r="U206" s="5"/>
      <c r="V206" s="5"/>
      <c r="W206" s="5"/>
      <c r="X206" s="5"/>
      <c r="Y206" s="5"/>
    </row>
    <row r="207" spans="1:25" x14ac:dyDescent="0.2">
      <c r="A207" s="571" t="s">
        <v>2205</v>
      </c>
      <c r="B207" s="587">
        <f>+B206*B205</f>
        <v>0.32637410058065353</v>
      </c>
      <c r="C207" s="571" t="s">
        <v>2206</v>
      </c>
      <c r="D207" s="571"/>
      <c r="E207" s="571"/>
      <c r="F207" s="571"/>
      <c r="G207" s="571"/>
      <c r="H207" s="571"/>
      <c r="I207" s="709" t="s">
        <v>2182</v>
      </c>
      <c r="J207" s="587">
        <f>B207*145.04</f>
        <v>47.337299548217985</v>
      </c>
      <c r="K207" s="571" t="s">
        <v>2183</v>
      </c>
      <c r="L207" s="571"/>
      <c r="M207" s="571"/>
      <c r="N207" s="571"/>
      <c r="O207" s="571"/>
      <c r="P207" s="571"/>
      <c r="Q207" s="5"/>
      <c r="R207" s="5"/>
      <c r="S207" s="5"/>
      <c r="T207" s="5"/>
      <c r="U207" s="5"/>
      <c r="V207" s="5"/>
      <c r="W207" s="5"/>
      <c r="X207" s="5"/>
      <c r="Y207" s="5"/>
    </row>
    <row r="208" spans="1:25" x14ac:dyDescent="0.2">
      <c r="A208" s="571"/>
      <c r="B208" s="588">
        <v>0.8</v>
      </c>
      <c r="C208" s="571" t="s">
        <v>2184</v>
      </c>
      <c r="D208" s="571"/>
      <c r="E208" s="571"/>
      <c r="F208" s="723" t="s">
        <v>2185</v>
      </c>
      <c r="G208" s="706">
        <v>800</v>
      </c>
      <c r="H208" s="571"/>
      <c r="I208" s="709"/>
      <c r="J208" s="587">
        <f>B208*145.04</f>
        <v>116.032</v>
      </c>
      <c r="K208" s="571" t="s">
        <v>2207</v>
      </c>
      <c r="L208" s="571"/>
      <c r="M208" s="571"/>
      <c r="N208" s="226" t="str">
        <f>+F208</f>
        <v>HLB</v>
      </c>
      <c r="O208" s="248">
        <f>+G208</f>
        <v>800</v>
      </c>
      <c r="P208" s="571"/>
      <c r="Q208" s="5"/>
      <c r="R208" s="5"/>
      <c r="S208" s="5"/>
      <c r="T208" s="5"/>
      <c r="U208" s="5"/>
      <c r="V208" s="5"/>
      <c r="W208" s="5"/>
      <c r="X208" s="5"/>
      <c r="Y208" s="5"/>
    </row>
    <row r="209" spans="1:25" x14ac:dyDescent="0.2">
      <c r="A209" s="571"/>
      <c r="B209" s="693">
        <f>B208/B207</f>
        <v>2.4511748897253693</v>
      </c>
      <c r="C209" s="694" t="str">
        <f>IF(B209&gt;1,"OK","ERROR")</f>
        <v>OK</v>
      </c>
      <c r="D209" s="571"/>
      <c r="E209" s="571"/>
      <c r="F209" s="571"/>
      <c r="G209" s="571"/>
      <c r="H209" s="571"/>
      <c r="I209" s="709"/>
      <c r="J209" s="693">
        <f>J208/J207</f>
        <v>2.4511748897253693</v>
      </c>
      <c r="K209" s="694" t="str">
        <f>IF(J209&gt;1,"OK","ERROR")</f>
        <v>OK</v>
      </c>
      <c r="L209" s="571"/>
      <c r="M209" s="571"/>
      <c r="N209" s="571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724" t="str">
        <f>+IF(J209&gt;1," HLB", "")</f>
        <v xml:space="preserve"> HLB</v>
      </c>
      <c r="K210" s="121">
        <f>+IF(J209&gt;1,+O208,"")</f>
        <v>800</v>
      </c>
      <c r="L210" s="118" t="str">
        <f>+IF(J209&gt;1,"under the ring beam","")</f>
        <v>under the ring beam</v>
      </c>
      <c r="M210" s="592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</sheetData>
  <mergeCells count="190">
    <mergeCell ref="A163:C163"/>
    <mergeCell ref="E163:F163"/>
    <mergeCell ref="I163:K163"/>
    <mergeCell ref="M163:N163"/>
    <mergeCell ref="A167:G168"/>
    <mergeCell ref="I167:O168"/>
    <mergeCell ref="A162:C162"/>
    <mergeCell ref="E162:F162"/>
    <mergeCell ref="G162:H162"/>
    <mergeCell ref="I162:K162"/>
    <mergeCell ref="M162:N162"/>
    <mergeCell ref="O162:P162"/>
    <mergeCell ref="D159:H159"/>
    <mergeCell ref="L159:P159"/>
    <mergeCell ref="D160:H160"/>
    <mergeCell ref="L160:P160"/>
    <mergeCell ref="D161:H161"/>
    <mergeCell ref="L161:P161"/>
    <mergeCell ref="A128:C128"/>
    <mergeCell ref="E128:F128"/>
    <mergeCell ref="I128:K128"/>
    <mergeCell ref="M128:N128"/>
    <mergeCell ref="A130:H132"/>
    <mergeCell ref="I130:P132"/>
    <mergeCell ref="D125:H125"/>
    <mergeCell ref="L125:P125"/>
    <mergeCell ref="D126:H126"/>
    <mergeCell ref="L126:P126"/>
    <mergeCell ref="A127:C127"/>
    <mergeCell ref="E127:F127"/>
    <mergeCell ref="G127:H127"/>
    <mergeCell ref="I127:K127"/>
    <mergeCell ref="M127:N127"/>
    <mergeCell ref="O127:P127"/>
    <mergeCell ref="C107:H107"/>
    <mergeCell ref="K107:P107"/>
    <mergeCell ref="A112:H113"/>
    <mergeCell ref="I112:P113"/>
    <mergeCell ref="T118:Y118"/>
    <mergeCell ref="D124:H124"/>
    <mergeCell ref="L124:P124"/>
    <mergeCell ref="K100:P100"/>
    <mergeCell ref="C101:H101"/>
    <mergeCell ref="K101:P101"/>
    <mergeCell ref="C102:H102"/>
    <mergeCell ref="K102:P102"/>
    <mergeCell ref="C106:H106"/>
    <mergeCell ref="K106:P106"/>
    <mergeCell ref="C97:H97"/>
    <mergeCell ref="K97:P97"/>
    <mergeCell ref="C98:H98"/>
    <mergeCell ref="K98:P98"/>
    <mergeCell ref="C99:H99"/>
    <mergeCell ref="K99:P99"/>
    <mergeCell ref="A90:C90"/>
    <mergeCell ref="E90:F90"/>
    <mergeCell ref="I90:K90"/>
    <mergeCell ref="M90:N90"/>
    <mergeCell ref="C96:H96"/>
    <mergeCell ref="K96:P96"/>
    <mergeCell ref="A89:C89"/>
    <mergeCell ref="E89:F89"/>
    <mergeCell ref="G89:H89"/>
    <mergeCell ref="I89:K89"/>
    <mergeCell ref="M89:N89"/>
    <mergeCell ref="O89:P89"/>
    <mergeCell ref="D86:H86"/>
    <mergeCell ref="L86:P86"/>
    <mergeCell ref="D87:H87"/>
    <mergeCell ref="L87:P87"/>
    <mergeCell ref="D88:H88"/>
    <mergeCell ref="L88:P88"/>
    <mergeCell ref="C75:H75"/>
    <mergeCell ref="K75:P75"/>
    <mergeCell ref="C77:H78"/>
    <mergeCell ref="K77:P78"/>
    <mergeCell ref="C79:H79"/>
    <mergeCell ref="K79:P79"/>
    <mergeCell ref="C71:H71"/>
    <mergeCell ref="K71:P71"/>
    <mergeCell ref="C73:H73"/>
    <mergeCell ref="K73:P73"/>
    <mergeCell ref="C74:H74"/>
    <mergeCell ref="K74:P74"/>
    <mergeCell ref="C61:H61"/>
    <mergeCell ref="K61:P61"/>
    <mergeCell ref="C62:H62"/>
    <mergeCell ref="K62:P62"/>
    <mergeCell ref="C69:H70"/>
    <mergeCell ref="K69:P70"/>
    <mergeCell ref="C57:H57"/>
    <mergeCell ref="K57:P57"/>
    <mergeCell ref="C58:H59"/>
    <mergeCell ref="K58:P59"/>
    <mergeCell ref="C60:H60"/>
    <mergeCell ref="K60:P60"/>
    <mergeCell ref="C50:H50"/>
    <mergeCell ref="K50:P50"/>
    <mergeCell ref="A54:H54"/>
    <mergeCell ref="I54:P54"/>
    <mergeCell ref="C56:H56"/>
    <mergeCell ref="K56:P56"/>
    <mergeCell ref="A46:C46"/>
    <mergeCell ref="E46:F46"/>
    <mergeCell ref="I46:K46"/>
    <mergeCell ref="M46:N46"/>
    <mergeCell ref="C48:H49"/>
    <mergeCell ref="K48:P49"/>
    <mergeCell ref="D43:H43"/>
    <mergeCell ref="L43:P43"/>
    <mergeCell ref="D44:H44"/>
    <mergeCell ref="L44:P44"/>
    <mergeCell ref="A45:C45"/>
    <mergeCell ref="E45:F45"/>
    <mergeCell ref="G45:H45"/>
    <mergeCell ref="I45:K45"/>
    <mergeCell ref="M45:N45"/>
    <mergeCell ref="O45:P45"/>
    <mergeCell ref="C38:H38"/>
    <mergeCell ref="K38:P38"/>
    <mergeCell ref="C39:H39"/>
    <mergeCell ref="K39:P39"/>
    <mergeCell ref="D42:H42"/>
    <mergeCell ref="L42:P42"/>
    <mergeCell ref="C35:H35"/>
    <mergeCell ref="K35:P35"/>
    <mergeCell ref="C36:H36"/>
    <mergeCell ref="K36:P36"/>
    <mergeCell ref="C37:H37"/>
    <mergeCell ref="K37:P37"/>
    <mergeCell ref="C32:H32"/>
    <mergeCell ref="K32:P32"/>
    <mergeCell ref="C33:H33"/>
    <mergeCell ref="K33:P33"/>
    <mergeCell ref="C34:H34"/>
    <mergeCell ref="K34:P34"/>
    <mergeCell ref="C29:H29"/>
    <mergeCell ref="K29:P29"/>
    <mergeCell ref="C30:H30"/>
    <mergeCell ref="K30:P30"/>
    <mergeCell ref="C31:H31"/>
    <mergeCell ref="K31:P31"/>
    <mergeCell ref="C26:H26"/>
    <mergeCell ref="K26:P26"/>
    <mergeCell ref="C27:H27"/>
    <mergeCell ref="K27:P27"/>
    <mergeCell ref="C28:H28"/>
    <mergeCell ref="K28:P28"/>
    <mergeCell ref="C19:H19"/>
    <mergeCell ref="K19:P19"/>
    <mergeCell ref="C24:H24"/>
    <mergeCell ref="K24:P24"/>
    <mergeCell ref="C25:H25"/>
    <mergeCell ref="K25:P25"/>
    <mergeCell ref="C16:H16"/>
    <mergeCell ref="K16:P16"/>
    <mergeCell ref="C17:H17"/>
    <mergeCell ref="K17:P17"/>
    <mergeCell ref="C18:H18"/>
    <mergeCell ref="K18:P18"/>
    <mergeCell ref="C13:H13"/>
    <mergeCell ref="K13:P13"/>
    <mergeCell ref="C14:H14"/>
    <mergeCell ref="K14:P14"/>
    <mergeCell ref="C15:H15"/>
    <mergeCell ref="K15:P15"/>
    <mergeCell ref="C10:H10"/>
    <mergeCell ref="K10:P10"/>
    <mergeCell ref="C11:H11"/>
    <mergeCell ref="K11:P11"/>
    <mergeCell ref="C12:H12"/>
    <mergeCell ref="K12:P12"/>
    <mergeCell ref="A5:C5"/>
    <mergeCell ref="E5:F5"/>
    <mergeCell ref="I5:K5"/>
    <mergeCell ref="M5:N5"/>
    <mergeCell ref="C9:H9"/>
    <mergeCell ref="K9:P9"/>
    <mergeCell ref="A4:C4"/>
    <mergeCell ref="E4:F4"/>
    <mergeCell ref="G4:H4"/>
    <mergeCell ref="I4:K4"/>
    <mergeCell ref="M4:N4"/>
    <mergeCell ref="O4:P4"/>
    <mergeCell ref="D1:H1"/>
    <mergeCell ref="L1:P1"/>
    <mergeCell ref="D2:H2"/>
    <mergeCell ref="L2:P2"/>
    <mergeCell ref="D3:H3"/>
    <mergeCell ref="L3:P3"/>
  </mergeCells>
  <pageMargins left="0.74803149606299213" right="0.74803149606299213" top="0.98425196850393704" bottom="0.98425196850393704" header="0" footer="0"/>
  <pageSetup paperSize="9" scale="83" fitToHeight="0" orientation="portrait"/>
  <rowBreaks count="8" manualBreakCount="8">
    <brk id="41" max="7" man="1"/>
    <brk id="41" min="8" max="15" man="1"/>
    <brk id="85" max="7" man="1"/>
    <brk id="85" min="8" max="15" man="1"/>
    <brk id="123" max="7" man="1"/>
    <brk id="123" min="8" max="15" man="1"/>
    <brk id="158" max="7" man="1"/>
    <brk id="158" min="8" max="1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Y148"/>
  <sheetViews>
    <sheetView workbookViewId="0"/>
    <sheetView tabSelected="1" topLeftCell="A127" workbookViewId="1">
      <selection sqref="A1:AK5"/>
    </sheetView>
  </sheetViews>
  <sheetFormatPr defaultColWidth="9.140625" defaultRowHeight="12.75" x14ac:dyDescent="0.2"/>
  <cols>
    <col min="1" max="1" width="6.140625" customWidth="1"/>
    <col min="2" max="2" width="12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31.85546875" customWidth="1"/>
    <col min="9" max="9" width="9.5703125" customWidth="1"/>
    <col min="10" max="10" width="11.5703125" customWidth="1"/>
    <col min="11" max="13" width="13.140625" customWidth="1"/>
    <col min="14" max="14" width="14.42578125" customWidth="1"/>
    <col min="15" max="15" width="9.85546875" customWidth="1"/>
    <col min="16" max="16" width="13.140625" customWidth="1"/>
    <col min="18" max="18" width="11.140625" customWidth="1"/>
    <col min="19" max="19" width="14.140625" customWidth="1"/>
    <col min="26" max="26" width="8.140625" customWidth="1"/>
  </cols>
  <sheetData>
    <row r="1" spans="1:25" ht="14.25" customHeight="1" thickTop="1" thickBot="1" x14ac:dyDescent="0.3">
      <c r="A1" s="28"/>
      <c r="B1" s="4"/>
      <c r="C1" s="408"/>
      <c r="D1" s="934" t="str">
        <f>'Front Page'!$A$13</f>
        <v>Mechanical  Calculations</v>
      </c>
      <c r="E1" s="842"/>
      <c r="F1" s="842"/>
      <c r="G1" s="842"/>
      <c r="H1" s="859"/>
      <c r="I1" s="28"/>
      <c r="J1" s="4"/>
      <c r="K1" s="408"/>
      <c r="L1" s="934" t="str">
        <f>'Front Page'!$A$13</f>
        <v>Mechanical  Calculations</v>
      </c>
      <c r="M1" s="842"/>
      <c r="N1" s="842"/>
      <c r="O1" s="842"/>
      <c r="P1" s="859"/>
      <c r="Q1" s="5"/>
      <c r="R1" s="5"/>
      <c r="S1" s="5"/>
      <c r="T1" s="5"/>
      <c r="U1" s="5"/>
      <c r="V1" s="5"/>
      <c r="W1" s="5"/>
      <c r="X1" s="5"/>
      <c r="Y1" s="5"/>
    </row>
    <row r="2" spans="1:25" ht="15.75" customHeight="1" thickBot="1" x14ac:dyDescent="0.3">
      <c r="A2" s="6"/>
      <c r="B2" s="5"/>
      <c r="C2" s="14"/>
      <c r="D2" s="984"/>
      <c r="E2" s="831"/>
      <c r="F2" s="831"/>
      <c r="G2" s="831"/>
      <c r="H2" s="854"/>
      <c r="I2" s="6"/>
      <c r="J2" s="5"/>
      <c r="K2" s="14"/>
      <c r="L2" s="984"/>
      <c r="M2" s="831"/>
      <c r="N2" s="831"/>
      <c r="O2" s="831"/>
      <c r="P2" s="854"/>
      <c r="Q2" s="5"/>
      <c r="R2" s="5"/>
      <c r="S2" s="5"/>
      <c r="T2" s="5"/>
      <c r="U2" s="5"/>
      <c r="V2" s="5"/>
      <c r="W2" s="5"/>
      <c r="X2" s="5"/>
      <c r="Y2" s="5"/>
    </row>
    <row r="3" spans="1:25" ht="18" customHeight="1" thickBot="1" x14ac:dyDescent="0.3">
      <c r="A3" s="8"/>
      <c r="B3" s="9"/>
      <c r="C3" s="409"/>
      <c r="D3" s="985" t="s">
        <v>2208</v>
      </c>
      <c r="E3" s="834"/>
      <c r="F3" s="834"/>
      <c r="G3" s="834"/>
      <c r="H3" s="986"/>
      <c r="I3" s="8"/>
      <c r="J3" s="9"/>
      <c r="K3" s="409"/>
      <c r="L3" s="985" t="s">
        <v>2208</v>
      </c>
      <c r="M3" s="834"/>
      <c r="N3" s="834"/>
      <c r="O3" s="834"/>
      <c r="P3" s="986"/>
      <c r="Q3" s="5"/>
      <c r="R3" s="5"/>
      <c r="S3" s="5"/>
      <c r="T3" s="5"/>
      <c r="U3" s="5"/>
      <c r="V3" s="5"/>
      <c r="W3" s="5"/>
      <c r="X3" s="5"/>
      <c r="Y3" s="5"/>
    </row>
    <row r="4" spans="1:25" ht="16.5" customHeight="1" thickTop="1" thickBot="1" x14ac:dyDescent="0.3">
      <c r="A4" s="873"/>
      <c r="B4" s="848"/>
      <c r="C4" s="865"/>
      <c r="D4" s="385" t="str">
        <f>'Front Page'!$D$4</f>
        <v>Doc Nº</v>
      </c>
      <c r="E4" s="980"/>
      <c r="F4" s="843"/>
      <c r="G4" s="980"/>
      <c r="H4" s="843"/>
      <c r="I4" s="873"/>
      <c r="J4" s="848"/>
      <c r="K4" s="865"/>
      <c r="L4" s="385" t="str">
        <f>'Front Page'!$D$4</f>
        <v>Doc Nº</v>
      </c>
      <c r="M4" s="980"/>
      <c r="N4" s="843"/>
      <c r="O4" s="980"/>
      <c r="P4" s="843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thickBot="1" x14ac:dyDescent="0.3">
      <c r="A5" s="860"/>
      <c r="B5" s="851"/>
      <c r="C5" s="861"/>
      <c r="D5" s="386" t="str">
        <f>'Front Page'!$D$5</f>
        <v>Project</v>
      </c>
      <c r="E5" s="899"/>
      <c r="F5" s="835"/>
      <c r="G5" s="131" t="s">
        <v>5</v>
      </c>
      <c r="H5" s="132"/>
      <c r="I5" s="860"/>
      <c r="J5" s="851"/>
      <c r="K5" s="861"/>
      <c r="L5" s="386" t="str">
        <f>'Front Page'!$D$5</f>
        <v>Project</v>
      </c>
      <c r="M5" s="899"/>
      <c r="N5" s="835"/>
      <c r="O5" s="131" t="s">
        <v>5</v>
      </c>
      <c r="P5" s="427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thickTop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0.25" customHeight="1" x14ac:dyDescent="0.3">
      <c r="A7" s="63" t="s">
        <v>2209</v>
      </c>
      <c r="B7" s="5"/>
      <c r="C7" s="5"/>
      <c r="D7" s="5"/>
      <c r="E7" s="5"/>
      <c r="F7" s="5"/>
      <c r="G7" s="5"/>
      <c r="H7" s="5"/>
      <c r="I7" s="63" t="s">
        <v>2209</v>
      </c>
      <c r="J7" s="5"/>
      <c r="K7" s="5"/>
      <c r="L7" s="5"/>
      <c r="M7" s="5"/>
      <c r="N7" s="5"/>
      <c r="O7" s="5"/>
      <c r="P7" s="5"/>
      <c r="Q7" s="5"/>
      <c r="R7" s="592" t="s">
        <v>2210</v>
      </c>
      <c r="S7" s="5"/>
      <c r="T7" s="5"/>
      <c r="U7" s="5"/>
      <c r="V7" s="5"/>
      <c r="W7" s="5"/>
      <c r="X7" s="5"/>
      <c r="Y7" s="5"/>
    </row>
    <row r="8" spans="1:2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92" t="s">
        <v>2211</v>
      </c>
      <c r="S8" s="5"/>
      <c r="T8" s="5"/>
      <c r="U8" s="5"/>
      <c r="V8" s="5"/>
      <c r="W8" s="5"/>
      <c r="X8" s="5"/>
      <c r="Y8" s="5"/>
    </row>
    <row r="9" spans="1:25" ht="12.75" customHeight="1" x14ac:dyDescent="0.2">
      <c r="A9" s="212" t="s">
        <v>1957</v>
      </c>
      <c r="B9" s="217">
        <f>'Earthquake API 650 OLE'!B9</f>
        <v>0.70499999999999996</v>
      </c>
      <c r="C9" s="1053" t="s">
        <v>1958</v>
      </c>
      <c r="D9" s="809"/>
      <c r="E9" s="809"/>
      <c r="F9" s="809"/>
      <c r="G9" s="809"/>
      <c r="H9" s="809"/>
      <c r="I9" s="212" t="s">
        <v>1957</v>
      </c>
      <c r="J9" s="635">
        <f t="shared" ref="J9:J19" si="0">B9</f>
        <v>0.70499999999999996</v>
      </c>
      <c r="K9" s="1053" t="s">
        <v>1958</v>
      </c>
      <c r="L9" s="809"/>
      <c r="M9" s="809"/>
      <c r="N9" s="809"/>
      <c r="O9" s="809"/>
      <c r="P9" s="809"/>
      <c r="Q9" s="5"/>
      <c r="R9" s="5"/>
      <c r="S9" s="5"/>
      <c r="T9" s="5"/>
      <c r="U9" s="5"/>
      <c r="V9" s="5"/>
      <c r="W9" s="5"/>
      <c r="X9" s="5"/>
      <c r="Y9" s="5"/>
    </row>
    <row r="10" spans="1:25" ht="12.75" customHeight="1" x14ac:dyDescent="0.2">
      <c r="A10" s="212" t="s">
        <v>1959</v>
      </c>
      <c r="B10" s="217">
        <v>0</v>
      </c>
      <c r="C10" s="1053" t="s">
        <v>1960</v>
      </c>
      <c r="D10" s="809"/>
      <c r="E10" s="809"/>
      <c r="F10" s="809"/>
      <c r="G10" s="809"/>
      <c r="H10" s="809"/>
      <c r="I10" s="212" t="s">
        <v>1959</v>
      </c>
      <c r="J10" s="635">
        <f t="shared" si="0"/>
        <v>0</v>
      </c>
      <c r="K10" s="1053" t="s">
        <v>1960</v>
      </c>
      <c r="L10" s="809"/>
      <c r="M10" s="809"/>
      <c r="N10" s="809"/>
      <c r="O10" s="809"/>
      <c r="P10" s="809"/>
      <c r="Q10" s="5"/>
      <c r="R10" s="5"/>
      <c r="S10" s="5"/>
      <c r="T10" s="5"/>
      <c r="U10" s="5"/>
      <c r="V10" s="5"/>
      <c r="W10" s="5"/>
      <c r="X10" s="5"/>
      <c r="Y10" s="5"/>
    </row>
    <row r="11" spans="1:25" ht="24" customHeight="1" x14ac:dyDescent="0.2">
      <c r="A11" s="212" t="s">
        <v>1961</v>
      </c>
      <c r="B11" s="217">
        <v>4</v>
      </c>
      <c r="C11" s="1053" t="s">
        <v>1962</v>
      </c>
      <c r="D11" s="809"/>
      <c r="E11" s="809"/>
      <c r="F11" s="809"/>
      <c r="G11" s="809"/>
      <c r="H11" s="809"/>
      <c r="I11" s="212" t="s">
        <v>1961</v>
      </c>
      <c r="J11" s="635">
        <f t="shared" si="0"/>
        <v>4</v>
      </c>
      <c r="K11" s="1053" t="s">
        <v>1962</v>
      </c>
      <c r="L11" s="809"/>
      <c r="M11" s="809"/>
      <c r="N11" s="809"/>
      <c r="O11" s="809"/>
      <c r="P11" s="809"/>
      <c r="Q11" s="5"/>
      <c r="R11" s="5"/>
      <c r="S11" s="5"/>
      <c r="T11" s="5"/>
      <c r="U11" s="5"/>
      <c r="V11" s="5"/>
      <c r="W11" s="5"/>
      <c r="X11" s="5"/>
      <c r="Y11" s="5"/>
    </row>
    <row r="12" spans="1:25" ht="26.25" customHeight="1" x14ac:dyDescent="0.2">
      <c r="A12" s="212" t="s">
        <v>1964</v>
      </c>
      <c r="B12" s="217">
        <f>'Earthquake API 650 Inner Tank'!B12</f>
        <v>1.0513333333333332</v>
      </c>
      <c r="C12" s="1053" t="s">
        <v>1966</v>
      </c>
      <c r="D12" s="809"/>
      <c r="E12" s="809"/>
      <c r="F12" s="809"/>
      <c r="G12" s="809"/>
      <c r="H12" s="809"/>
      <c r="I12" s="725" t="s">
        <v>1964</v>
      </c>
      <c r="J12" s="641">
        <f t="shared" si="0"/>
        <v>1.0513333333333332</v>
      </c>
      <c r="K12" s="1053" t="s">
        <v>1966</v>
      </c>
      <c r="L12" s="809"/>
      <c r="M12" s="809"/>
      <c r="N12" s="809"/>
      <c r="O12" s="809"/>
      <c r="P12" s="809"/>
      <c r="Q12" s="5"/>
      <c r="R12" s="5"/>
      <c r="S12" s="5"/>
      <c r="T12" s="5"/>
      <c r="U12" s="5"/>
      <c r="V12" s="5"/>
      <c r="W12" s="5"/>
      <c r="X12" s="5"/>
      <c r="Y12" s="5"/>
    </row>
    <row r="13" spans="1:25" ht="27" customHeight="1" x14ac:dyDescent="0.2">
      <c r="A13" s="212" t="s">
        <v>1967</v>
      </c>
      <c r="B13" s="217">
        <f>'Earthquake API 650 Inner Tank'!B13</f>
        <v>0.39733333333333332</v>
      </c>
      <c r="C13" s="1053" t="s">
        <v>1969</v>
      </c>
      <c r="D13" s="809"/>
      <c r="E13" s="809"/>
      <c r="F13" s="809"/>
      <c r="G13" s="809"/>
      <c r="H13" s="809"/>
      <c r="I13" s="725" t="s">
        <v>1967</v>
      </c>
      <c r="J13" s="641">
        <f t="shared" si="0"/>
        <v>0.39733333333333332</v>
      </c>
      <c r="K13" s="1053" t="s">
        <v>1969</v>
      </c>
      <c r="L13" s="809"/>
      <c r="M13" s="809"/>
      <c r="N13" s="809"/>
      <c r="O13" s="809"/>
      <c r="P13" s="809"/>
      <c r="Q13" s="5"/>
      <c r="R13" s="5"/>
      <c r="S13" s="5"/>
      <c r="T13" s="5"/>
      <c r="U13" s="5"/>
      <c r="V13" s="5"/>
      <c r="W13" s="5"/>
      <c r="X13" s="5"/>
      <c r="Y13" s="5"/>
    </row>
    <row r="14" spans="1:25" ht="12.75" customHeight="1" x14ac:dyDescent="0.2">
      <c r="A14" s="212" t="s">
        <v>1971</v>
      </c>
      <c r="B14" s="217">
        <f>'Earthquake API 650 OLE'!J14</f>
        <v>1</v>
      </c>
      <c r="C14" s="1053" t="s">
        <v>1972</v>
      </c>
      <c r="D14" s="809"/>
      <c r="E14" s="809"/>
      <c r="F14" s="809"/>
      <c r="G14" s="809"/>
      <c r="H14" s="809"/>
      <c r="I14" s="212" t="s">
        <v>1971</v>
      </c>
      <c r="J14" s="635">
        <f t="shared" si="0"/>
        <v>1</v>
      </c>
      <c r="K14" s="1053" t="s">
        <v>1972</v>
      </c>
      <c r="L14" s="809"/>
      <c r="M14" s="809"/>
      <c r="N14" s="809"/>
      <c r="O14" s="809"/>
      <c r="P14" s="809"/>
      <c r="Q14" s="5"/>
      <c r="R14" s="5"/>
      <c r="S14" s="5"/>
      <c r="T14" s="5"/>
      <c r="U14" s="5"/>
      <c r="V14" s="5"/>
      <c r="W14" s="5"/>
      <c r="X14" s="5"/>
      <c r="Y14" s="5"/>
    </row>
    <row r="15" spans="1:25" ht="12.75" customHeight="1" x14ac:dyDescent="0.2">
      <c r="A15" s="212" t="s">
        <v>190</v>
      </c>
      <c r="B15" s="217">
        <v>1.25</v>
      </c>
      <c r="C15" s="1053" t="s">
        <v>1974</v>
      </c>
      <c r="D15" s="809"/>
      <c r="E15" s="809"/>
      <c r="F15" s="809"/>
      <c r="G15" s="809"/>
      <c r="H15" s="809"/>
      <c r="I15" s="212" t="s">
        <v>190</v>
      </c>
      <c r="J15" s="726">
        <f t="shared" si="0"/>
        <v>1.25</v>
      </c>
      <c r="K15" s="1053" t="s">
        <v>1974</v>
      </c>
      <c r="L15" s="809"/>
      <c r="M15" s="809"/>
      <c r="N15" s="809"/>
      <c r="O15" s="809"/>
      <c r="P15" s="809"/>
      <c r="Q15" s="5"/>
      <c r="R15" s="5"/>
      <c r="S15" s="5"/>
      <c r="T15" s="5"/>
      <c r="U15" s="5"/>
      <c r="V15" s="5"/>
      <c r="W15" s="5"/>
      <c r="X15" s="5"/>
      <c r="Y15" s="5"/>
    </row>
    <row r="16" spans="1:25" ht="29.25" customHeight="1" x14ac:dyDescent="0.2">
      <c r="A16" s="212" t="s">
        <v>1975</v>
      </c>
      <c r="B16" s="217">
        <v>2</v>
      </c>
      <c r="C16" s="1053" t="s">
        <v>1976</v>
      </c>
      <c r="D16" s="809"/>
      <c r="E16" s="809"/>
      <c r="F16" s="809"/>
      <c r="G16" s="809"/>
      <c r="H16" s="809"/>
      <c r="I16" s="212" t="s">
        <v>1975</v>
      </c>
      <c r="J16" s="635">
        <f t="shared" si="0"/>
        <v>2</v>
      </c>
      <c r="K16" s="1053" t="s">
        <v>1976</v>
      </c>
      <c r="L16" s="809"/>
      <c r="M16" s="809"/>
      <c r="N16" s="809"/>
      <c r="O16" s="809"/>
      <c r="P16" s="809"/>
      <c r="Q16" s="5"/>
      <c r="R16" s="5"/>
      <c r="S16" s="5"/>
      <c r="T16" s="5"/>
      <c r="U16" s="5"/>
      <c r="V16" s="5"/>
      <c r="W16" s="5"/>
      <c r="X16" s="5"/>
      <c r="Y16" s="5"/>
    </row>
    <row r="17" spans="1:25" ht="27.75" customHeight="1" x14ac:dyDescent="0.2">
      <c r="A17" s="212" t="s">
        <v>1978</v>
      </c>
      <c r="B17" s="217" t="s">
        <v>2212</v>
      </c>
      <c r="C17" s="1053" t="s">
        <v>1979</v>
      </c>
      <c r="D17" s="809"/>
      <c r="E17" s="809"/>
      <c r="F17" s="809"/>
      <c r="G17" s="809"/>
      <c r="H17" s="809"/>
      <c r="I17" s="212" t="s">
        <v>1978</v>
      </c>
      <c r="J17" s="727" t="str">
        <f t="shared" si="0"/>
        <v>NA</v>
      </c>
      <c r="K17" s="1053" t="s">
        <v>1979</v>
      </c>
      <c r="L17" s="809"/>
      <c r="M17" s="809"/>
      <c r="N17" s="809"/>
      <c r="O17" s="809"/>
      <c r="P17" s="809"/>
      <c r="Q17" s="5"/>
      <c r="R17" s="5"/>
      <c r="S17" s="5"/>
      <c r="T17" s="5"/>
      <c r="U17" s="5"/>
      <c r="V17" s="5"/>
      <c r="W17" s="5"/>
      <c r="X17" s="5"/>
      <c r="Y17" s="5"/>
    </row>
    <row r="18" spans="1:25" ht="12.75" customHeight="1" x14ac:dyDescent="0.2">
      <c r="A18" s="212" t="s">
        <v>1980</v>
      </c>
      <c r="B18" s="217" t="s">
        <v>1004</v>
      </c>
      <c r="C18" s="1053" t="s">
        <v>1981</v>
      </c>
      <c r="D18" s="809"/>
      <c r="E18" s="809"/>
      <c r="F18" s="809"/>
      <c r="G18" s="809"/>
      <c r="H18" s="809"/>
      <c r="I18" s="212" t="s">
        <v>1980</v>
      </c>
      <c r="J18" s="635" t="str">
        <f t="shared" si="0"/>
        <v>na</v>
      </c>
      <c r="K18" s="1053" t="s">
        <v>1981</v>
      </c>
      <c r="L18" s="809"/>
      <c r="M18" s="809"/>
      <c r="N18" s="809"/>
      <c r="O18" s="809"/>
      <c r="P18" s="809"/>
      <c r="Q18" s="5"/>
      <c r="R18" s="5"/>
      <c r="S18" s="5"/>
      <c r="T18" s="5"/>
      <c r="U18" s="5"/>
      <c r="V18" s="5"/>
      <c r="W18" s="5"/>
      <c r="X18" s="5"/>
      <c r="Y18" s="5"/>
    </row>
    <row r="19" spans="1:25" ht="12.75" customHeight="1" x14ac:dyDescent="0.2">
      <c r="A19" s="212" t="s">
        <v>1982</v>
      </c>
      <c r="B19" s="217">
        <f>2/3</f>
        <v>0.66666666666666663</v>
      </c>
      <c r="C19" s="1053" t="s">
        <v>1983</v>
      </c>
      <c r="D19" s="809"/>
      <c r="E19" s="809"/>
      <c r="F19" s="809"/>
      <c r="G19" s="809"/>
      <c r="H19" s="809"/>
      <c r="I19" s="212" t="s">
        <v>1982</v>
      </c>
      <c r="J19" s="635">
        <f t="shared" si="0"/>
        <v>0.66666666666666663</v>
      </c>
      <c r="K19" s="1053" t="s">
        <v>1983</v>
      </c>
      <c r="L19" s="809"/>
      <c r="M19" s="809"/>
      <c r="N19" s="809"/>
      <c r="O19" s="809"/>
      <c r="P19" s="809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9.5" customHeight="1" x14ac:dyDescent="0.3">
      <c r="A22" s="63" t="s">
        <v>2213</v>
      </c>
      <c r="B22" s="5"/>
      <c r="C22" s="5"/>
      <c r="D22" s="5"/>
      <c r="E22" s="5"/>
      <c r="F22" s="5"/>
      <c r="G22" s="5"/>
      <c r="H22" s="5"/>
      <c r="I22" s="63" t="s">
        <v>2213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2.75" customHeight="1" x14ac:dyDescent="0.2">
      <c r="A24" s="5" t="s">
        <v>1985</v>
      </c>
      <c r="B24" s="390">
        <f>'Main Dimensions Calcs'!H38/1000</f>
        <v>4.4580000000000002</v>
      </c>
      <c r="C24" s="1053" t="s">
        <v>1986</v>
      </c>
      <c r="D24" s="809"/>
      <c r="E24" s="809"/>
      <c r="F24" s="809"/>
      <c r="G24" s="809"/>
      <c r="H24" s="809"/>
      <c r="I24" s="5" t="s">
        <v>1985</v>
      </c>
      <c r="J24" s="635">
        <f>B24*1000/25.4</f>
        <v>175.51181102362204</v>
      </c>
      <c r="K24" s="1059" t="s">
        <v>1987</v>
      </c>
      <c r="L24" s="809"/>
      <c r="M24" s="809"/>
      <c r="N24" s="809"/>
      <c r="O24" s="809"/>
      <c r="P24" s="809"/>
      <c r="Q24" s="5"/>
      <c r="R24" s="5"/>
      <c r="S24" s="5"/>
      <c r="T24" s="5"/>
      <c r="U24" s="5"/>
      <c r="V24" s="5"/>
      <c r="W24" s="5"/>
      <c r="X24" s="5"/>
      <c r="Y24" s="5"/>
    </row>
    <row r="25" spans="1:25" ht="12.75" customHeight="1" x14ac:dyDescent="0.2">
      <c r="A25" s="5" t="s">
        <v>1988</v>
      </c>
      <c r="B25" s="390">
        <f>'Main Dimensions Calcs'!F31/1000+'Main Dimensions Calcs'!D30/1000</f>
        <v>11.529831123700841</v>
      </c>
      <c r="C25" s="1053" t="s">
        <v>1989</v>
      </c>
      <c r="D25" s="809"/>
      <c r="E25" s="809"/>
      <c r="F25" s="809"/>
      <c r="G25" s="809"/>
      <c r="H25" s="809"/>
      <c r="I25" s="5" t="s">
        <v>1988</v>
      </c>
      <c r="J25" s="635">
        <f>B25*1000/25.4</f>
        <v>453.93035920082059</v>
      </c>
      <c r="K25" s="1059" t="s">
        <v>1990</v>
      </c>
      <c r="L25" s="809"/>
      <c r="M25" s="809"/>
      <c r="N25" s="809"/>
      <c r="O25" s="809"/>
      <c r="P25" s="809"/>
      <c r="Q25" s="5" t="s">
        <v>2214</v>
      </c>
      <c r="R25" s="5"/>
      <c r="S25" s="5"/>
      <c r="T25" s="5"/>
      <c r="U25" s="5"/>
      <c r="V25" s="5"/>
      <c r="W25" s="5"/>
      <c r="X25" s="5"/>
      <c r="Y25" s="5"/>
    </row>
    <row r="26" spans="1:25" ht="30" customHeight="1" x14ac:dyDescent="0.2">
      <c r="A26" s="5" t="s">
        <v>1991</v>
      </c>
      <c r="B26" s="390">
        <v>206.8</v>
      </c>
      <c r="C26" s="982" t="s">
        <v>1992</v>
      </c>
      <c r="D26" s="809"/>
      <c r="E26" s="809"/>
      <c r="F26" s="809"/>
      <c r="G26" s="809"/>
      <c r="H26" s="809"/>
      <c r="I26" s="5" t="s">
        <v>1991</v>
      </c>
      <c r="J26" s="635">
        <f>B26*145.04</f>
        <v>29994.272000000001</v>
      </c>
      <c r="K26" s="901" t="s">
        <v>2215</v>
      </c>
      <c r="L26" s="809"/>
      <c r="M26" s="809"/>
      <c r="N26" s="809"/>
      <c r="O26" s="809"/>
      <c r="P26" s="809"/>
      <c r="Q26" s="5"/>
      <c r="R26" s="5"/>
      <c r="S26" s="5"/>
      <c r="T26" s="5"/>
      <c r="U26" s="5"/>
      <c r="V26" s="5"/>
      <c r="W26" s="5"/>
      <c r="X26" s="5"/>
      <c r="Y26" s="5"/>
    </row>
    <row r="27" spans="1:25" ht="41.45" customHeight="1" x14ac:dyDescent="0.2">
      <c r="A27" s="5" t="s">
        <v>1993</v>
      </c>
      <c r="B27" s="660">
        <v>5</v>
      </c>
      <c r="C27" s="1051" t="s">
        <v>1994</v>
      </c>
      <c r="D27" s="809"/>
      <c r="E27" s="809"/>
      <c r="F27" s="809"/>
      <c r="G27" s="809"/>
      <c r="H27" s="809"/>
      <c r="I27" s="5" t="s">
        <v>1993</v>
      </c>
      <c r="J27" s="635">
        <f>B27/25.4</f>
        <v>0.19685039370078741</v>
      </c>
      <c r="K27" s="901" t="s">
        <v>1995</v>
      </c>
      <c r="L27" s="809"/>
      <c r="M27" s="809"/>
      <c r="N27" s="809"/>
      <c r="O27" s="809"/>
      <c r="P27" s="809"/>
      <c r="Q27" s="5"/>
      <c r="R27" s="5"/>
      <c r="S27" s="5"/>
      <c r="T27" s="5"/>
      <c r="U27" s="5"/>
      <c r="V27" s="5"/>
      <c r="W27" s="5"/>
      <c r="X27" s="5"/>
      <c r="Y27" s="5"/>
    </row>
    <row r="28" spans="1:25" ht="26.25" customHeight="1" x14ac:dyDescent="0.2">
      <c r="A28" s="5" t="s">
        <v>1996</v>
      </c>
      <c r="B28" s="217">
        <v>0</v>
      </c>
      <c r="C28" s="982" t="s">
        <v>1997</v>
      </c>
      <c r="D28" s="809"/>
      <c r="E28" s="809"/>
      <c r="F28" s="809"/>
      <c r="G28" s="809"/>
      <c r="H28" s="809"/>
      <c r="I28" s="5" t="s">
        <v>1996</v>
      </c>
      <c r="J28" s="635">
        <f>B28</f>
        <v>0</v>
      </c>
      <c r="K28" s="982" t="s">
        <v>1997</v>
      </c>
      <c r="L28" s="809"/>
      <c r="M28" s="809"/>
      <c r="N28" s="809"/>
      <c r="O28" s="809"/>
      <c r="P28" s="809"/>
      <c r="Q28" s="5"/>
      <c r="R28" s="5"/>
      <c r="S28" s="5"/>
      <c r="T28" s="5"/>
      <c r="U28" s="5"/>
      <c r="V28" s="5"/>
      <c r="W28" s="5"/>
      <c r="X28" s="5"/>
      <c r="Y28" s="5"/>
    </row>
    <row r="29" spans="1:25" ht="25.5" customHeight="1" x14ac:dyDescent="0.2">
      <c r="A29" s="5" t="s">
        <v>1998</v>
      </c>
      <c r="B29" s="390">
        <f>('Weight Calculations'!H162*9.8+'Design Conditions'!J31*'Main Dimensions Calcs'!D41*0.1*0.000000001)/(PI()*B36)</f>
        <v>6648.5267740114805</v>
      </c>
      <c r="C29" s="1053" t="s">
        <v>1999</v>
      </c>
      <c r="D29" s="809"/>
      <c r="E29" s="809"/>
      <c r="F29" s="809"/>
      <c r="G29" s="809"/>
      <c r="H29" s="809"/>
      <c r="I29" s="5" t="s">
        <v>1998</v>
      </c>
      <c r="J29" s="635">
        <f>B29</f>
        <v>6648.5267740114805</v>
      </c>
      <c r="K29" s="1053" t="s">
        <v>1999</v>
      </c>
      <c r="L29" s="809"/>
      <c r="M29" s="809"/>
      <c r="N29" s="809"/>
      <c r="O29" s="809"/>
      <c r="P29" s="809"/>
      <c r="Q29" s="5"/>
      <c r="R29" s="5"/>
      <c r="S29" s="5"/>
      <c r="T29" s="5"/>
      <c r="U29" s="5"/>
      <c r="V29" s="5"/>
      <c r="W29" s="5"/>
      <c r="X29" s="5"/>
      <c r="Y29" s="5"/>
    </row>
    <row r="30" spans="1:25" ht="12.75" customHeight="1" x14ac:dyDescent="0.2">
      <c r="A30" s="5" t="s">
        <v>1712</v>
      </c>
      <c r="B30" s="390">
        <f>'Main Dimensions Calcs'!H25</f>
        <v>6</v>
      </c>
      <c r="C30" s="1053" t="s">
        <v>2000</v>
      </c>
      <c r="D30" s="809"/>
      <c r="E30" s="809"/>
      <c r="F30" s="809"/>
      <c r="G30" s="809"/>
      <c r="H30" s="809"/>
      <c r="I30" s="5" t="s">
        <v>1712</v>
      </c>
      <c r="J30" s="635">
        <f>B30/25.4</f>
        <v>0.23622047244094491</v>
      </c>
      <c r="K30" s="1059" t="s">
        <v>2001</v>
      </c>
      <c r="L30" s="809"/>
      <c r="M30" s="809"/>
      <c r="N30" s="809"/>
      <c r="O30" s="809"/>
      <c r="P30" s="809"/>
      <c r="Q30" s="5"/>
      <c r="R30" s="5"/>
      <c r="S30" s="5"/>
      <c r="T30" s="5"/>
      <c r="U30" s="5"/>
      <c r="V30" s="5"/>
      <c r="W30" s="5"/>
      <c r="X30" s="5"/>
      <c r="Y30" s="5"/>
    </row>
    <row r="31" spans="1:25" ht="12.75" customHeight="1" x14ac:dyDescent="0.2">
      <c r="A31" s="5" t="s">
        <v>2002</v>
      </c>
      <c r="B31" s="390">
        <f>'Design Conditions'!J19/1000</f>
        <v>9.1299999999999992E-2</v>
      </c>
      <c r="C31" s="1053" t="s">
        <v>2003</v>
      </c>
      <c r="D31" s="809"/>
      <c r="E31" s="809"/>
      <c r="F31" s="809"/>
      <c r="G31" s="809"/>
      <c r="H31" s="809"/>
      <c r="I31" s="5" t="s">
        <v>2002</v>
      </c>
      <c r="J31" s="635">
        <f>B31</f>
        <v>9.1299999999999992E-2</v>
      </c>
      <c r="K31" s="1053" t="s">
        <v>2003</v>
      </c>
      <c r="L31" s="809"/>
      <c r="M31" s="809"/>
      <c r="N31" s="809"/>
      <c r="O31" s="809"/>
      <c r="P31" s="809"/>
      <c r="Q31" s="5"/>
      <c r="R31" s="5"/>
      <c r="S31" s="5"/>
      <c r="T31" s="5"/>
      <c r="U31" s="5"/>
      <c r="V31" s="5"/>
      <c r="W31" s="5"/>
      <c r="X31" s="5"/>
      <c r="Y31" s="5"/>
    </row>
    <row r="32" spans="1:25" ht="24.75" customHeight="1" x14ac:dyDescent="0.2">
      <c r="A32" s="5" t="s">
        <v>1150</v>
      </c>
      <c r="B32" s="390">
        <f>'Weight Calculations'!H161*9.8</f>
        <v>344141.32768577826</v>
      </c>
      <c r="C32" s="1055" t="s">
        <v>2004</v>
      </c>
      <c r="D32" s="809"/>
      <c r="E32" s="809"/>
      <c r="F32" s="809"/>
      <c r="G32" s="809"/>
      <c r="H32" s="809"/>
      <c r="I32" s="5" t="s">
        <v>1150</v>
      </c>
      <c r="J32" s="635">
        <f>B32*0.225</f>
        <v>77431.798729300106</v>
      </c>
      <c r="K32" s="1059" t="s">
        <v>2005</v>
      </c>
      <c r="L32" s="809"/>
      <c r="M32" s="809"/>
      <c r="N32" s="809"/>
      <c r="O32" s="809"/>
      <c r="P32" s="809"/>
      <c r="Q32" s="5"/>
      <c r="R32" s="5"/>
      <c r="S32" s="5"/>
      <c r="T32" s="5"/>
      <c r="U32" s="5"/>
      <c r="V32" s="5"/>
      <c r="W32" s="5"/>
      <c r="X32" s="5"/>
      <c r="Y32" s="5"/>
    </row>
    <row r="33" spans="1:25" ht="27.75" customHeight="1" x14ac:dyDescent="0.2">
      <c r="A33" s="5" t="s">
        <v>2006</v>
      </c>
      <c r="B33" s="390">
        <f>('Weight Calculations'!H162*9.8+'Design Conditions'!J31*'Main Dimensions Calcs'!D41*0.1*9.8*0.000001)</f>
        <v>500199.27522795228</v>
      </c>
      <c r="C33" s="1053" t="s">
        <v>2007</v>
      </c>
      <c r="D33" s="809"/>
      <c r="E33" s="809"/>
      <c r="F33" s="809"/>
      <c r="G33" s="809"/>
      <c r="H33" s="809"/>
      <c r="I33" s="5" t="s">
        <v>2006</v>
      </c>
      <c r="J33" s="635">
        <f>B33*0.225</f>
        <v>112544.83692628927</v>
      </c>
      <c r="K33" s="1059" t="s">
        <v>2008</v>
      </c>
      <c r="L33" s="809"/>
      <c r="M33" s="809"/>
      <c r="N33" s="809"/>
      <c r="O33" s="809"/>
      <c r="P33" s="809"/>
      <c r="Q33" s="5"/>
      <c r="R33" s="5"/>
      <c r="S33" s="5"/>
      <c r="T33" s="5"/>
      <c r="U33" s="5"/>
      <c r="V33" s="5"/>
      <c r="W33" s="5"/>
      <c r="X33" s="5"/>
      <c r="Y33" s="5"/>
    </row>
    <row r="34" spans="1:25" ht="12.75" customHeight="1" x14ac:dyDescent="0.2">
      <c r="A34" s="5" t="s">
        <v>2010</v>
      </c>
      <c r="B34" s="390">
        <f>'Weight Calculations'!H163</f>
        <v>19014.599011625498</v>
      </c>
      <c r="C34" s="1053" t="s">
        <v>2011</v>
      </c>
      <c r="D34" s="809"/>
      <c r="E34" s="809"/>
      <c r="F34" s="809"/>
      <c r="G34" s="809"/>
      <c r="H34" s="809"/>
      <c r="I34" s="5" t="s">
        <v>2010</v>
      </c>
      <c r="J34" s="635">
        <f>B34*0.225</f>
        <v>4278.2847776157369</v>
      </c>
      <c r="K34" s="1059" t="s">
        <v>2012</v>
      </c>
      <c r="L34" s="809"/>
      <c r="M34" s="809"/>
      <c r="N34" s="809"/>
      <c r="O34" s="809"/>
      <c r="P34" s="809"/>
      <c r="Q34" s="5"/>
      <c r="R34" s="5"/>
      <c r="S34" s="5"/>
      <c r="T34" s="5"/>
      <c r="U34" s="5"/>
      <c r="V34" s="5"/>
      <c r="W34" s="5"/>
      <c r="X34" s="5"/>
      <c r="Y34" s="5"/>
    </row>
    <row r="35" spans="1:25" ht="12.75" customHeight="1" x14ac:dyDescent="0.2">
      <c r="A35" s="5" t="s">
        <v>213</v>
      </c>
      <c r="B35" s="390">
        <f>'Thermal calculation 2'!K79*9.8/2</f>
        <v>385827.75218396913</v>
      </c>
      <c r="C35" s="1053" t="s">
        <v>2013</v>
      </c>
      <c r="D35" s="809"/>
      <c r="E35" s="809"/>
      <c r="F35" s="809"/>
      <c r="G35" s="809"/>
      <c r="H35" s="809"/>
      <c r="I35" s="5" t="s">
        <v>213</v>
      </c>
      <c r="J35" s="635">
        <f>B35*0.225</f>
        <v>86811.244241393055</v>
      </c>
      <c r="K35" s="1059" t="s">
        <v>2014</v>
      </c>
      <c r="L35" s="809"/>
      <c r="M35" s="809"/>
      <c r="N35" s="809"/>
      <c r="O35" s="809"/>
      <c r="P35" s="809"/>
      <c r="Q35" s="5"/>
      <c r="R35" s="5"/>
      <c r="S35" s="5"/>
      <c r="T35" s="5"/>
      <c r="U35" s="5"/>
      <c r="V35" s="5"/>
      <c r="W35" s="5"/>
      <c r="X35" s="5"/>
      <c r="Y35" s="5"/>
    </row>
    <row r="36" spans="1:25" ht="12.75" customHeight="1" x14ac:dyDescent="0.2">
      <c r="A36" s="5" t="s">
        <v>196</v>
      </c>
      <c r="B36" s="390">
        <f>'Main Dimensions Calcs'!D32/1000</f>
        <v>23.4</v>
      </c>
      <c r="C36" s="1053" t="s">
        <v>2015</v>
      </c>
      <c r="D36" s="809"/>
      <c r="E36" s="809"/>
      <c r="F36" s="809"/>
      <c r="G36" s="809"/>
      <c r="H36" s="809"/>
      <c r="I36" s="5" t="s">
        <v>196</v>
      </c>
      <c r="J36" s="635">
        <f>B36*1000/25.4</f>
        <v>921.25984251968509</v>
      </c>
      <c r="K36" s="1059" t="s">
        <v>2016</v>
      </c>
      <c r="L36" s="809"/>
      <c r="M36" s="809"/>
      <c r="N36" s="809"/>
      <c r="O36" s="809"/>
      <c r="P36" s="809"/>
      <c r="Q36" s="5"/>
      <c r="R36" s="5"/>
      <c r="S36" s="5"/>
      <c r="T36" s="5"/>
      <c r="U36" s="5"/>
      <c r="V36" s="5"/>
      <c r="W36" s="5"/>
      <c r="X36" s="5"/>
      <c r="Y36" s="5"/>
    </row>
    <row r="37" spans="1:25" ht="12.75" customHeight="1" x14ac:dyDescent="0.2">
      <c r="A37" s="5" t="s">
        <v>911</v>
      </c>
      <c r="B37" s="390">
        <f>'Main Dimensions Calcs'!D30/1000</f>
        <v>8.9130432931562744</v>
      </c>
      <c r="C37" s="1053" t="s">
        <v>2017</v>
      </c>
      <c r="D37" s="809"/>
      <c r="E37" s="809"/>
      <c r="F37" s="809"/>
      <c r="G37" s="809"/>
      <c r="H37" s="809"/>
      <c r="I37" s="5" t="s">
        <v>911</v>
      </c>
      <c r="J37" s="635">
        <f>B37*1000/25.4</f>
        <v>350.90721626599503</v>
      </c>
      <c r="K37" s="1059" t="s">
        <v>2018</v>
      </c>
      <c r="L37" s="809"/>
      <c r="M37" s="809"/>
      <c r="N37" s="809"/>
      <c r="O37" s="809"/>
      <c r="P37" s="809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customHeight="1" x14ac:dyDescent="0.2">
      <c r="A38" s="5" t="s">
        <v>2019</v>
      </c>
      <c r="B38" s="390">
        <f>'Thermal calculation 2'!K79/2*9.8</f>
        <v>385827.75218396913</v>
      </c>
      <c r="C38" s="1053" t="s">
        <v>2020</v>
      </c>
      <c r="D38" s="809"/>
      <c r="E38" s="809"/>
      <c r="F38" s="809"/>
      <c r="G38" s="809"/>
      <c r="H38" s="809"/>
      <c r="I38" s="5" t="s">
        <v>2019</v>
      </c>
      <c r="J38" s="635">
        <f>B38*0.225</f>
        <v>86811.244241393055</v>
      </c>
      <c r="K38" s="1059" t="s">
        <v>2021</v>
      </c>
      <c r="L38" s="809"/>
      <c r="M38" s="809"/>
      <c r="N38" s="809"/>
      <c r="O38" s="809"/>
      <c r="P38" s="809"/>
      <c r="Q38" s="5"/>
      <c r="R38" s="5"/>
      <c r="S38" s="5"/>
      <c r="T38" s="5"/>
      <c r="U38" s="5"/>
      <c r="V38" s="5"/>
      <c r="W38" s="5"/>
      <c r="X38" s="5"/>
      <c r="Y38" s="5"/>
    </row>
    <row r="39" spans="1:25" ht="18" customHeight="1" x14ac:dyDescent="0.2">
      <c r="A39" s="5" t="s">
        <v>2022</v>
      </c>
      <c r="B39" s="389">
        <v>0</v>
      </c>
      <c r="C39" s="1053" t="s">
        <v>2023</v>
      </c>
      <c r="D39" s="809"/>
      <c r="E39" s="809"/>
      <c r="F39" s="809"/>
      <c r="G39" s="809"/>
      <c r="H39" s="809"/>
      <c r="I39" s="5" t="s">
        <v>2022</v>
      </c>
      <c r="J39" s="635">
        <f>B39*0.225</f>
        <v>0</v>
      </c>
      <c r="K39" s="1059" t="s">
        <v>2024</v>
      </c>
      <c r="L39" s="809"/>
      <c r="M39" s="809"/>
      <c r="N39" s="809"/>
      <c r="O39" s="809"/>
      <c r="P39" s="809"/>
      <c r="Q39" s="5"/>
      <c r="R39" s="5"/>
      <c r="S39" s="5"/>
      <c r="T39" s="5"/>
      <c r="U39" s="5"/>
      <c r="V39" s="5"/>
      <c r="W39" s="5"/>
      <c r="X39" s="5"/>
      <c r="Y39" s="5"/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.5" customHeight="1" thickBo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7.25" customHeight="1" thickTop="1" thickBot="1" x14ac:dyDescent="0.3">
      <c r="A42" s="28"/>
      <c r="B42" s="4"/>
      <c r="C42" s="408"/>
      <c r="D42" s="934" t="str">
        <f>'Front Page'!$A$13</f>
        <v>Mechanical  Calculations</v>
      </c>
      <c r="E42" s="842"/>
      <c r="F42" s="842"/>
      <c r="G42" s="842"/>
      <c r="H42" s="859"/>
      <c r="I42" s="28"/>
      <c r="J42" s="4"/>
      <c r="K42" s="408"/>
      <c r="L42" s="934" t="str">
        <f>'Front Page'!$A$13</f>
        <v>Mechanical  Calculations</v>
      </c>
      <c r="M42" s="842"/>
      <c r="N42" s="842"/>
      <c r="O42" s="842"/>
      <c r="P42" s="859"/>
      <c r="Q42" s="5"/>
      <c r="R42" s="5"/>
      <c r="S42" s="5"/>
      <c r="T42" s="5"/>
      <c r="U42" s="5"/>
      <c r="V42" s="5"/>
      <c r="W42" s="5"/>
      <c r="X42" s="5"/>
      <c r="Y42" s="5"/>
    </row>
    <row r="43" spans="1:25" ht="16.5" customHeight="1" thickBot="1" x14ac:dyDescent="0.3">
      <c r="A43" s="6"/>
      <c r="B43" s="5"/>
      <c r="C43" s="14"/>
      <c r="D43" s="984"/>
      <c r="E43" s="831"/>
      <c r="F43" s="831"/>
      <c r="G43" s="831"/>
      <c r="H43" s="854"/>
      <c r="I43" s="6"/>
      <c r="J43" s="5"/>
      <c r="K43" s="14"/>
      <c r="L43" s="984"/>
      <c r="M43" s="831"/>
      <c r="N43" s="831"/>
      <c r="O43" s="831"/>
      <c r="P43" s="854"/>
      <c r="Q43" s="5"/>
      <c r="R43" s="5"/>
      <c r="S43" s="5"/>
      <c r="T43" s="5"/>
      <c r="U43" s="5"/>
      <c r="V43" s="5"/>
      <c r="W43" s="5"/>
      <c r="X43" s="5"/>
      <c r="Y43" s="5"/>
    </row>
    <row r="44" spans="1:25" ht="16.5" customHeight="1" thickBot="1" x14ac:dyDescent="0.3">
      <c r="A44" s="8"/>
      <c r="B44" s="9"/>
      <c r="C44" s="409"/>
      <c r="D44" s="985" t="s">
        <v>2208</v>
      </c>
      <c r="E44" s="834"/>
      <c r="F44" s="834"/>
      <c r="G44" s="834"/>
      <c r="H44" s="986"/>
      <c r="I44" s="8"/>
      <c r="J44" s="9"/>
      <c r="K44" s="409"/>
      <c r="L44" s="985" t="s">
        <v>2208</v>
      </c>
      <c r="M44" s="834"/>
      <c r="N44" s="834"/>
      <c r="O44" s="834"/>
      <c r="P44" s="986"/>
      <c r="Q44" s="5"/>
      <c r="R44" s="5"/>
      <c r="S44" s="5"/>
      <c r="T44" s="5"/>
      <c r="U44" s="5"/>
      <c r="V44" s="5"/>
      <c r="W44" s="5"/>
      <c r="X44" s="5"/>
      <c r="Y44" s="5"/>
    </row>
    <row r="45" spans="1:25" ht="16.5" customHeight="1" thickTop="1" thickBot="1" x14ac:dyDescent="0.3">
      <c r="A45" s="873"/>
      <c r="B45" s="848"/>
      <c r="C45" s="865"/>
      <c r="D45" s="385" t="str">
        <f>'Front Page'!$D$4</f>
        <v>Doc Nº</v>
      </c>
      <c r="E45" s="980"/>
      <c r="F45" s="843"/>
      <c r="G45" s="980"/>
      <c r="H45" s="843"/>
      <c r="I45" s="873"/>
      <c r="J45" s="848"/>
      <c r="K45" s="865"/>
      <c r="L45" s="385" t="str">
        <f>'Front Page'!$D$4</f>
        <v>Doc Nº</v>
      </c>
      <c r="M45" s="980"/>
      <c r="N45" s="843"/>
      <c r="O45" s="980"/>
      <c r="P45" s="843"/>
      <c r="Q45" s="5"/>
      <c r="R45" s="5"/>
      <c r="S45" s="5"/>
      <c r="T45" s="5"/>
      <c r="U45" s="5"/>
      <c r="V45" s="5"/>
      <c r="W45" s="5"/>
      <c r="X45" s="5"/>
      <c r="Y45" s="5"/>
    </row>
    <row r="46" spans="1:25" ht="15.75" customHeight="1" thickBot="1" x14ac:dyDescent="0.3">
      <c r="A46" s="860"/>
      <c r="B46" s="851"/>
      <c r="C46" s="861"/>
      <c r="D46" s="386" t="str">
        <f>'Front Page'!$D$5</f>
        <v>Project</v>
      </c>
      <c r="E46" s="899"/>
      <c r="F46" s="835"/>
      <c r="G46" s="131" t="s">
        <v>5</v>
      </c>
      <c r="H46" s="132"/>
      <c r="I46" s="860"/>
      <c r="J46" s="851"/>
      <c r="K46" s="861"/>
      <c r="L46" s="386" t="str">
        <f>'Front Page'!$D$5</f>
        <v>Project</v>
      </c>
      <c r="M46" s="899"/>
      <c r="N46" s="835"/>
      <c r="O46" s="131" t="s">
        <v>5</v>
      </c>
      <c r="P46" s="427"/>
      <c r="Q46" s="5"/>
      <c r="R46" s="5"/>
      <c r="S46" s="5"/>
      <c r="T46" s="5"/>
      <c r="U46" s="5"/>
      <c r="V46" s="5"/>
      <c r="W46" s="5"/>
      <c r="X46" s="5"/>
      <c r="Y46" s="5"/>
    </row>
    <row r="47" spans="1:25" ht="17.25" customHeight="1" thickTop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4.75" customHeight="1" x14ac:dyDescent="0.2">
      <c r="A48" s="5" t="s">
        <v>2025</v>
      </c>
      <c r="B48" s="265">
        <f>B31*(1-0.4*B9)</f>
        <v>6.5553399999999998E-2</v>
      </c>
      <c r="C48" s="982" t="s">
        <v>2026</v>
      </c>
      <c r="D48" s="809"/>
      <c r="E48" s="809"/>
      <c r="F48" s="809"/>
      <c r="G48" s="809"/>
      <c r="H48" s="809"/>
      <c r="I48" s="5" t="s">
        <v>2025</v>
      </c>
      <c r="J48" s="265">
        <f>J31*(1-0.4*J9)</f>
        <v>6.5553399999999998E-2</v>
      </c>
      <c r="K48" s="982" t="s">
        <v>2026</v>
      </c>
      <c r="L48" s="809"/>
      <c r="M48" s="809"/>
      <c r="N48" s="809"/>
      <c r="O48" s="809"/>
      <c r="P48" s="809"/>
      <c r="Q48" s="5"/>
      <c r="R48" s="5"/>
      <c r="S48" s="212"/>
      <c r="T48" s="212"/>
      <c r="U48" s="212"/>
      <c r="V48" s="212"/>
      <c r="W48" s="212"/>
      <c r="X48" s="212"/>
      <c r="Y48" s="5"/>
    </row>
    <row r="49" spans="1:25" ht="27.75" customHeight="1" x14ac:dyDescent="0.2">
      <c r="A49" s="82" t="s">
        <v>2027</v>
      </c>
      <c r="B49" s="686">
        <f>B32/(PI()*B36)+B29+B39/(PI()*B36)</f>
        <v>11329.876639259288</v>
      </c>
      <c r="C49" s="982" t="s">
        <v>2028</v>
      </c>
      <c r="D49" s="809"/>
      <c r="E49" s="809"/>
      <c r="F49" s="809"/>
      <c r="G49" s="809"/>
      <c r="H49" s="809"/>
      <c r="I49" s="82" t="s">
        <v>2027</v>
      </c>
      <c r="J49" s="686">
        <f>B49</f>
        <v>11329.876639259288</v>
      </c>
      <c r="K49" s="982" t="s">
        <v>2028</v>
      </c>
      <c r="L49" s="809"/>
      <c r="M49" s="809"/>
      <c r="N49" s="809"/>
      <c r="O49" s="809"/>
      <c r="P49" s="809"/>
      <c r="Q49" s="5"/>
      <c r="R49" s="5"/>
      <c r="S49" s="212"/>
      <c r="T49" s="212"/>
      <c r="U49" s="212"/>
      <c r="V49" s="212"/>
      <c r="W49" s="212"/>
      <c r="X49" s="212"/>
      <c r="Y49" s="5"/>
    </row>
    <row r="50" spans="1:25" x14ac:dyDescent="0.2">
      <c r="A50" s="5"/>
      <c r="B50" s="265"/>
      <c r="C50" s="5"/>
      <c r="D50" s="5"/>
      <c r="E50" s="5"/>
      <c r="F50" s="5"/>
      <c r="G50" s="5"/>
      <c r="H50" s="5"/>
      <c r="I50" s="5"/>
      <c r="J50" s="265"/>
      <c r="K50" s="5"/>
      <c r="L50" s="5"/>
      <c r="M50" s="5"/>
      <c r="N50" s="5"/>
      <c r="O50" s="5"/>
      <c r="P50" s="5"/>
      <c r="Q50" s="5"/>
      <c r="R50" s="5"/>
      <c r="S50" s="982"/>
      <c r="T50" s="809"/>
      <c r="U50" s="809"/>
      <c r="V50" s="809"/>
      <c r="W50" s="809"/>
      <c r="X50" s="809"/>
      <c r="Y50" s="5"/>
    </row>
    <row r="51" spans="1:25" x14ac:dyDescent="0.2">
      <c r="A51" s="5" t="s">
        <v>1070</v>
      </c>
      <c r="B51" s="217">
        <v>0.38</v>
      </c>
      <c r="C51" s="5" t="s">
        <v>2029</v>
      </c>
      <c r="D51" s="5"/>
      <c r="E51" s="5"/>
      <c r="F51" s="5"/>
      <c r="G51" s="5"/>
      <c r="H51" s="5"/>
      <c r="I51" s="5" t="s">
        <v>1070</v>
      </c>
      <c r="J51" s="217">
        <v>0.4</v>
      </c>
      <c r="K51" s="5" t="s">
        <v>2029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 t="s">
        <v>2216</v>
      </c>
      <c r="R52" s="5"/>
      <c r="S52" s="5"/>
      <c r="T52" s="5"/>
      <c r="U52" s="5"/>
      <c r="V52" s="5"/>
      <c r="W52" s="5"/>
      <c r="X52" s="5"/>
      <c r="Y52" s="5"/>
    </row>
    <row r="53" spans="1:25" ht="45" customHeight="1" x14ac:dyDescent="0.3">
      <c r="A53" s="1063" t="s">
        <v>2030</v>
      </c>
      <c r="B53" s="809"/>
      <c r="C53" s="809"/>
      <c r="D53" s="809"/>
      <c r="E53" s="809"/>
      <c r="F53" s="809"/>
      <c r="G53" s="809"/>
      <c r="H53" s="809"/>
      <c r="I53" s="1063" t="s">
        <v>2030</v>
      </c>
      <c r="J53" s="809"/>
      <c r="K53" s="809"/>
      <c r="L53" s="809"/>
      <c r="M53" s="809"/>
      <c r="N53" s="809"/>
      <c r="O53" s="809"/>
      <c r="P53" s="809"/>
      <c r="Q53" s="5"/>
      <c r="R53" s="5"/>
      <c r="S53" s="5"/>
      <c r="T53" s="5"/>
      <c r="U53" s="5"/>
      <c r="V53" s="5"/>
      <c r="W53" s="5"/>
      <c r="X53" s="5"/>
      <c r="Y53" s="5"/>
    </row>
    <row r="54" spans="1:25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2.75" customHeight="1" x14ac:dyDescent="0.2">
      <c r="A55" s="5" t="s">
        <v>2031</v>
      </c>
      <c r="B55" s="265">
        <f>B12*B15/B16</f>
        <v>0.65708333333333324</v>
      </c>
      <c r="C55" s="1054" t="s">
        <v>2033</v>
      </c>
      <c r="D55" s="809"/>
      <c r="E55" s="809"/>
      <c r="F55" s="809"/>
      <c r="G55" s="809"/>
      <c r="H55" s="809"/>
      <c r="I55" s="5" t="s">
        <v>2031</v>
      </c>
      <c r="J55" s="332">
        <f t="shared" ref="J55:J61" si="1">B55</f>
        <v>0.65708333333333324</v>
      </c>
      <c r="K55" s="1054" t="s">
        <v>2033</v>
      </c>
      <c r="L55" s="809"/>
      <c r="M55" s="809"/>
      <c r="N55" s="809"/>
      <c r="O55" s="809"/>
      <c r="P55" s="809"/>
      <c r="Q55" s="5"/>
      <c r="R55" s="5"/>
      <c r="S55" s="5"/>
      <c r="T55" s="5"/>
      <c r="U55" s="5"/>
      <c r="V55" s="5"/>
      <c r="W55" s="5"/>
      <c r="X55" s="5"/>
      <c r="Y55" s="5"/>
    </row>
    <row r="56" spans="1:25" ht="18" customHeight="1" x14ac:dyDescent="0.2">
      <c r="A56" s="82" t="s">
        <v>1349</v>
      </c>
      <c r="B56" s="728">
        <v>0</v>
      </c>
      <c r="C56" s="1065" t="s">
        <v>2035</v>
      </c>
      <c r="D56" s="809"/>
      <c r="E56" s="809"/>
      <c r="F56" s="809"/>
      <c r="G56" s="809"/>
      <c r="H56" s="809"/>
      <c r="I56" s="82" t="s">
        <v>1349</v>
      </c>
      <c r="J56" s="332">
        <f t="shared" si="1"/>
        <v>0</v>
      </c>
      <c r="K56" s="1065" t="s">
        <v>2035</v>
      </c>
      <c r="L56" s="809"/>
      <c r="M56" s="809"/>
      <c r="N56" s="809"/>
      <c r="O56" s="809"/>
      <c r="P56" s="809"/>
      <c r="Q56" s="5"/>
      <c r="R56" s="5"/>
      <c r="S56" s="5"/>
      <c r="T56" s="5"/>
      <c r="U56" s="5"/>
      <c r="V56" s="5"/>
      <c r="W56" s="5"/>
      <c r="X56" s="5"/>
      <c r="Y56" s="5"/>
    </row>
    <row r="57" spans="1:25" ht="27" customHeight="1" x14ac:dyDescent="0.2">
      <c r="A57" s="5" t="s">
        <v>2036</v>
      </c>
      <c r="B57" s="265">
        <f>IF(B60&lt;B11,B58*B59*B15/B60,B58*B59*B15*4/B60^2)</f>
        <v>0.10420689430422914</v>
      </c>
      <c r="C57" s="1054" t="s">
        <v>2037</v>
      </c>
      <c r="D57" s="809"/>
      <c r="E57" s="809"/>
      <c r="F57" s="809"/>
      <c r="G57" s="809"/>
      <c r="H57" s="809"/>
      <c r="I57" s="5" t="s">
        <v>2036</v>
      </c>
      <c r="J57" s="332">
        <f t="shared" si="1"/>
        <v>0.10420689430422914</v>
      </c>
      <c r="K57" s="1054" t="s">
        <v>2037</v>
      </c>
      <c r="L57" s="809"/>
      <c r="M57" s="809"/>
      <c r="N57" s="809"/>
      <c r="O57" s="809"/>
      <c r="P57" s="809"/>
      <c r="Q57" s="5"/>
      <c r="R57" s="5"/>
      <c r="S57" s="5"/>
      <c r="T57" s="5"/>
      <c r="U57" s="5"/>
      <c r="V57" s="5"/>
      <c r="W57" s="5"/>
      <c r="X57" s="5"/>
      <c r="Y57" s="5"/>
    </row>
    <row r="58" spans="1:25" ht="30.75" customHeight="1" x14ac:dyDescent="0.2">
      <c r="A58" s="5" t="s">
        <v>1068</v>
      </c>
      <c r="B58" s="265">
        <v>1.5</v>
      </c>
      <c r="C58" s="1054" t="s">
        <v>2038</v>
      </c>
      <c r="D58" s="809"/>
      <c r="E58" s="809"/>
      <c r="F58" s="809"/>
      <c r="G58" s="809"/>
      <c r="H58" s="809"/>
      <c r="I58" s="5" t="s">
        <v>1068</v>
      </c>
      <c r="J58" s="332">
        <f t="shared" si="1"/>
        <v>1.5</v>
      </c>
      <c r="K58" s="1054" t="s">
        <v>2038</v>
      </c>
      <c r="L58" s="809"/>
      <c r="M58" s="809"/>
      <c r="N58" s="809"/>
      <c r="O58" s="809"/>
      <c r="P58" s="809"/>
      <c r="Q58" s="5"/>
      <c r="R58" s="5"/>
      <c r="S58" s="5"/>
      <c r="T58" s="5"/>
      <c r="U58" s="5"/>
      <c r="V58" s="5"/>
      <c r="W58" s="5"/>
      <c r="X58" s="5"/>
      <c r="Y58" s="5"/>
    </row>
    <row r="59" spans="1:25" ht="25.5" customHeight="1" x14ac:dyDescent="0.2">
      <c r="A59" s="5" t="s">
        <v>1967</v>
      </c>
      <c r="B59" s="265">
        <f>B13</f>
        <v>0.39733333333333332</v>
      </c>
      <c r="C59" s="1054" t="s">
        <v>2039</v>
      </c>
      <c r="D59" s="809"/>
      <c r="E59" s="809"/>
      <c r="F59" s="809"/>
      <c r="G59" s="809"/>
      <c r="H59" s="809"/>
      <c r="I59" s="5" t="s">
        <v>1967</v>
      </c>
      <c r="J59" s="332">
        <f t="shared" si="1"/>
        <v>0.39733333333333332</v>
      </c>
      <c r="K59" s="1054" t="s">
        <v>2039</v>
      </c>
      <c r="L59" s="809"/>
      <c r="M59" s="809"/>
      <c r="N59" s="809"/>
      <c r="O59" s="809"/>
      <c r="P59" s="809"/>
      <c r="Q59" s="5"/>
      <c r="R59" s="5"/>
      <c r="S59" s="5"/>
      <c r="T59" s="5"/>
      <c r="U59" s="5"/>
      <c r="V59" s="5"/>
      <c r="W59" s="5"/>
      <c r="X59" s="5"/>
      <c r="Y59" s="5"/>
    </row>
    <row r="60" spans="1:25" ht="30" customHeight="1" x14ac:dyDescent="0.2">
      <c r="A60" s="5" t="s">
        <v>2040</v>
      </c>
      <c r="B60" s="265">
        <f>1.8*B61*B36^0.5</f>
        <v>5.347612203149426</v>
      </c>
      <c r="C60" s="1054" t="s">
        <v>2041</v>
      </c>
      <c r="D60" s="809"/>
      <c r="E60" s="809"/>
      <c r="F60" s="809"/>
      <c r="G60" s="809"/>
      <c r="H60" s="809"/>
      <c r="I60" s="5" t="s">
        <v>2040</v>
      </c>
      <c r="J60" s="332">
        <f t="shared" si="1"/>
        <v>5.347612203149426</v>
      </c>
      <c r="K60" s="1054" t="s">
        <v>2041</v>
      </c>
      <c r="L60" s="809"/>
      <c r="M60" s="809"/>
      <c r="N60" s="809"/>
      <c r="O60" s="809"/>
      <c r="P60" s="809"/>
      <c r="Q60" s="5"/>
      <c r="R60" s="5"/>
      <c r="S60" s="5"/>
      <c r="T60" s="5"/>
      <c r="U60" s="5"/>
      <c r="V60" s="5"/>
      <c r="W60" s="5"/>
      <c r="X60" s="5"/>
      <c r="Y60" s="5"/>
    </row>
    <row r="61" spans="1:25" x14ac:dyDescent="0.2">
      <c r="A61" s="5" t="s">
        <v>2042</v>
      </c>
      <c r="B61" s="265">
        <f>0.578/(TANH(3.68*B37/B36))^0.5</f>
        <v>0.6141570928737512</v>
      </c>
      <c r="C61" s="5"/>
      <c r="D61" s="5"/>
      <c r="E61" s="5"/>
      <c r="F61" s="5"/>
      <c r="G61" s="5"/>
      <c r="H61" s="5"/>
      <c r="I61" s="5" t="s">
        <v>2042</v>
      </c>
      <c r="J61" s="332">
        <f t="shared" si="1"/>
        <v>0.6141570928737512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20.25" customHeight="1" x14ac:dyDescent="0.3">
      <c r="A65" s="63" t="s">
        <v>2198</v>
      </c>
      <c r="B65" s="5"/>
      <c r="C65" s="5"/>
      <c r="D65" s="5"/>
      <c r="E65" s="5"/>
      <c r="F65" s="5"/>
      <c r="G65" s="5"/>
      <c r="H65" s="5"/>
      <c r="I65" s="63" t="s">
        <v>2198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26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25.5" customHeight="1" x14ac:dyDescent="0.2">
      <c r="A67" s="5" t="s">
        <v>2044</v>
      </c>
      <c r="B67" s="265">
        <f>B35*(1-0.218*B36/B37)</f>
        <v>165007.04429488038</v>
      </c>
      <c r="C67" s="1054" t="s">
        <v>2045</v>
      </c>
      <c r="D67" s="809"/>
      <c r="E67" s="809"/>
      <c r="F67" s="809"/>
      <c r="G67" s="809"/>
      <c r="H67" s="809"/>
      <c r="I67" s="5" t="s">
        <v>2044</v>
      </c>
      <c r="J67" s="265">
        <f>B67*0.225</f>
        <v>37126.584966348084</v>
      </c>
      <c r="K67" s="901" t="s">
        <v>2046</v>
      </c>
      <c r="L67" s="809"/>
      <c r="M67" s="809"/>
      <c r="N67" s="809"/>
      <c r="O67" s="809"/>
      <c r="P67" s="809"/>
      <c r="Q67" s="5"/>
      <c r="R67" s="5"/>
      <c r="S67" s="5"/>
      <c r="T67" s="5"/>
      <c r="U67" s="5"/>
      <c r="V67" s="5"/>
      <c r="W67" s="5"/>
      <c r="X67" s="5"/>
      <c r="Y67" s="5"/>
    </row>
    <row r="68" spans="1:25" ht="12.75" customHeight="1" x14ac:dyDescent="0.2">
      <c r="A68" s="5" t="s">
        <v>1314</v>
      </c>
      <c r="B68" s="265">
        <f>(0.23*B36/B37*TANH(3.67*B37/B36))*B35</f>
        <v>206159.7344035281</v>
      </c>
      <c r="C68" s="1054" t="s">
        <v>2047</v>
      </c>
      <c r="D68" s="809"/>
      <c r="E68" s="809"/>
      <c r="F68" s="809"/>
      <c r="G68" s="809"/>
      <c r="H68" s="809"/>
      <c r="I68" s="5" t="s">
        <v>1314</v>
      </c>
      <c r="J68" s="265">
        <f>B68*0.225</f>
        <v>46385.940240793825</v>
      </c>
      <c r="K68" s="901" t="s">
        <v>2048</v>
      </c>
      <c r="L68" s="809"/>
      <c r="M68" s="809"/>
      <c r="N68" s="809"/>
      <c r="O68" s="809"/>
      <c r="P68" s="809"/>
      <c r="Q68" s="5"/>
      <c r="R68" s="5"/>
      <c r="S68" s="5"/>
      <c r="T68" s="5"/>
      <c r="U68" s="5"/>
      <c r="V68" s="5"/>
      <c r="W68" s="5"/>
      <c r="X68" s="5"/>
      <c r="Y68" s="5"/>
    </row>
    <row r="69" spans="1:25" ht="14.25" customHeight="1" x14ac:dyDescent="0.2">
      <c r="A69" s="5"/>
      <c r="B69" s="265"/>
      <c r="C69" s="809"/>
      <c r="D69" s="809"/>
      <c r="E69" s="809"/>
      <c r="F69" s="809"/>
      <c r="G69" s="809"/>
      <c r="H69" s="809"/>
      <c r="I69" s="5"/>
      <c r="J69" s="265"/>
      <c r="K69" s="809"/>
      <c r="L69" s="809"/>
      <c r="M69" s="809"/>
      <c r="N69" s="809"/>
      <c r="O69" s="809"/>
      <c r="P69" s="809"/>
      <c r="Q69" s="5"/>
      <c r="R69" s="5"/>
      <c r="S69" s="5"/>
      <c r="T69" s="5"/>
      <c r="U69" s="5"/>
      <c r="V69" s="5"/>
      <c r="W69" s="5"/>
      <c r="X69" s="5"/>
      <c r="Y69" s="5"/>
    </row>
    <row r="70" spans="1:25" ht="14.25" customHeight="1" x14ac:dyDescent="0.2">
      <c r="A70" s="5" t="s">
        <v>735</v>
      </c>
      <c r="B70" s="265">
        <f>(B71^2+B72^2)^0.5</f>
        <v>802480.18536932173</v>
      </c>
      <c r="C70" s="1054" t="s">
        <v>2049</v>
      </c>
      <c r="D70" s="809"/>
      <c r="E70" s="809"/>
      <c r="F70" s="809"/>
      <c r="G70" s="809"/>
      <c r="H70" s="809"/>
      <c r="I70" s="5" t="s">
        <v>735</v>
      </c>
      <c r="J70" s="265">
        <f>B70*0.225</f>
        <v>180558.04170809739</v>
      </c>
      <c r="K70" s="901" t="s">
        <v>2050</v>
      </c>
      <c r="L70" s="809"/>
      <c r="M70" s="809"/>
      <c r="N70" s="809"/>
      <c r="O70" s="809"/>
      <c r="P70" s="809"/>
      <c r="Q70" s="5"/>
      <c r="R70" s="5"/>
      <c r="S70" s="5"/>
      <c r="T70" s="5"/>
      <c r="U70" s="5"/>
      <c r="V70" s="5"/>
      <c r="W70" s="5"/>
      <c r="X70" s="5"/>
      <c r="Y70" s="5"/>
    </row>
    <row r="71" spans="1:25" ht="27.75" customHeight="1" x14ac:dyDescent="0.2">
      <c r="A71" s="5" t="s">
        <v>2051</v>
      </c>
      <c r="B71" s="265">
        <f>B55*(B32+B33+B34+B67+B38/2+B39/2)</f>
        <v>802480.18536932173</v>
      </c>
      <c r="C71" s="1054" t="s">
        <v>2052</v>
      </c>
      <c r="D71" s="809"/>
      <c r="E71" s="809"/>
      <c r="F71" s="809"/>
      <c r="G71" s="809"/>
      <c r="H71" s="809"/>
      <c r="I71" s="5" t="s">
        <v>2051</v>
      </c>
      <c r="J71" s="265">
        <f>B71*0.225</f>
        <v>180558.04170809739</v>
      </c>
      <c r="K71" s="901" t="s">
        <v>2053</v>
      </c>
      <c r="L71" s="809"/>
      <c r="M71" s="809"/>
      <c r="N71" s="809"/>
      <c r="O71" s="809"/>
      <c r="P71" s="809"/>
      <c r="Q71" s="5"/>
      <c r="R71" s="5"/>
      <c r="S71" s="5"/>
      <c r="T71" s="5"/>
      <c r="U71" s="5"/>
      <c r="V71" s="5"/>
      <c r="W71" s="5"/>
      <c r="X71" s="5"/>
      <c r="Y71" s="5"/>
    </row>
    <row r="72" spans="1:25" ht="12.75" customHeight="1" x14ac:dyDescent="0.2">
      <c r="A72" s="5" t="s">
        <v>2054</v>
      </c>
      <c r="B72" s="265">
        <f>B56*B68</f>
        <v>0</v>
      </c>
      <c r="C72" s="1054" t="s">
        <v>2055</v>
      </c>
      <c r="D72" s="809"/>
      <c r="E72" s="809"/>
      <c r="F72" s="809"/>
      <c r="G72" s="809"/>
      <c r="H72" s="809"/>
      <c r="I72" s="5" t="s">
        <v>2054</v>
      </c>
      <c r="J72" s="265">
        <f>B72*0.225</f>
        <v>0</v>
      </c>
      <c r="K72" s="901" t="s">
        <v>2056</v>
      </c>
      <c r="L72" s="809"/>
      <c r="M72" s="809"/>
      <c r="N72" s="809"/>
      <c r="O72" s="809"/>
      <c r="P72" s="809"/>
      <c r="Q72" s="5"/>
      <c r="R72" s="5"/>
      <c r="S72" s="5"/>
      <c r="T72" s="5"/>
      <c r="U72" s="5"/>
      <c r="V72" s="5"/>
      <c r="W72" s="5"/>
      <c r="X72" s="5"/>
      <c r="Y72" s="5"/>
    </row>
    <row r="73" spans="1:25" ht="10.35" customHeight="1" x14ac:dyDescent="0.2">
      <c r="A73" s="5"/>
      <c r="B73" s="265"/>
      <c r="C73" s="809"/>
      <c r="D73" s="809"/>
      <c r="E73" s="809"/>
      <c r="F73" s="809"/>
      <c r="G73" s="809"/>
      <c r="H73" s="809"/>
      <c r="I73" s="5"/>
      <c r="J73" s="265"/>
      <c r="K73" s="809"/>
      <c r="L73" s="809"/>
      <c r="M73" s="809"/>
      <c r="N73" s="809"/>
      <c r="O73" s="809"/>
      <c r="P73" s="809"/>
      <c r="Q73" s="5"/>
      <c r="R73" s="5"/>
      <c r="S73" s="5"/>
      <c r="T73" s="5"/>
      <c r="U73" s="5"/>
      <c r="V73" s="5"/>
      <c r="W73" s="5"/>
      <c r="X73" s="5"/>
      <c r="Y73" s="5"/>
    </row>
    <row r="74" spans="1:25" ht="9.6" hidden="1" customHeight="1" x14ac:dyDescent="0.2">
      <c r="A74" s="5" t="s">
        <v>2057</v>
      </c>
      <c r="B74" s="265">
        <f>2*B70/(B36*PI())</f>
        <v>21832.254399115904</v>
      </c>
      <c r="C74" s="982" t="s">
        <v>2217</v>
      </c>
      <c r="D74" s="809"/>
      <c r="E74" s="809"/>
      <c r="F74" s="809"/>
      <c r="G74" s="809"/>
      <c r="H74" s="809"/>
      <c r="I74" s="5" t="s">
        <v>2057</v>
      </c>
      <c r="J74" s="265">
        <f>B74</f>
        <v>21832.254399115904</v>
      </c>
      <c r="K74" s="982" t="s">
        <v>2217</v>
      </c>
      <c r="L74" s="809"/>
      <c r="M74" s="809"/>
      <c r="N74" s="809"/>
      <c r="O74" s="809"/>
      <c r="P74" s="809"/>
      <c r="Q74" s="5"/>
      <c r="R74" s="5"/>
      <c r="S74" s="5"/>
      <c r="T74" s="5"/>
      <c r="U74" s="5"/>
      <c r="V74" s="5"/>
      <c r="W74" s="5"/>
      <c r="X74" s="5"/>
      <c r="Y74" s="5"/>
    </row>
    <row r="75" spans="1:25" ht="13.35" hidden="1" customHeight="1" x14ac:dyDescent="0.2">
      <c r="A75" s="5"/>
      <c r="B75" s="265"/>
      <c r="C75" s="809"/>
      <c r="D75" s="809"/>
      <c r="E75" s="809"/>
      <c r="F75" s="809"/>
      <c r="G75" s="809"/>
      <c r="H75" s="809"/>
      <c r="I75" s="5"/>
      <c r="J75" s="265"/>
      <c r="K75" s="809"/>
      <c r="L75" s="809"/>
      <c r="M75" s="809"/>
      <c r="N75" s="809"/>
      <c r="O75" s="809"/>
      <c r="P75" s="809"/>
      <c r="Q75" s="5"/>
      <c r="R75" s="5"/>
      <c r="S75" s="5"/>
      <c r="T75" s="5"/>
      <c r="U75" s="5"/>
      <c r="V75" s="5"/>
      <c r="W75" s="5"/>
      <c r="X75" s="5"/>
      <c r="Y75" s="5"/>
    </row>
    <row r="76" spans="1:25" ht="12.75" customHeight="1" x14ac:dyDescent="0.2">
      <c r="A76" s="5" t="s">
        <v>2059</v>
      </c>
      <c r="B76" s="265">
        <f>B51*(B32+B33+B35+B34)*(1-0.4*B9)</f>
        <v>340827.07719918824</v>
      </c>
      <c r="C76" s="1054" t="s">
        <v>2060</v>
      </c>
      <c r="D76" s="809"/>
      <c r="E76" s="809"/>
      <c r="F76" s="809"/>
      <c r="G76" s="809"/>
      <c r="H76" s="809"/>
      <c r="I76" s="5" t="s">
        <v>2059</v>
      </c>
      <c r="J76" s="265">
        <f>B76*0.225</f>
        <v>76686.092369817357</v>
      </c>
      <c r="K76" s="901" t="s">
        <v>2061</v>
      </c>
      <c r="L76" s="809"/>
      <c r="M76" s="809"/>
      <c r="N76" s="809"/>
      <c r="O76" s="809"/>
      <c r="P76" s="809"/>
      <c r="Q76" s="5"/>
      <c r="R76" s="5"/>
      <c r="S76" s="5"/>
      <c r="T76" s="5"/>
      <c r="U76" s="5"/>
      <c r="V76" s="5"/>
      <c r="W76" s="5"/>
      <c r="X76" s="5"/>
      <c r="Y76" s="5"/>
    </row>
    <row r="77" spans="1:25" x14ac:dyDescent="0.2">
      <c r="A77" s="5"/>
      <c r="B77" s="265"/>
      <c r="C77" s="5"/>
      <c r="D77" s="5"/>
      <c r="E77" s="5"/>
      <c r="F77" s="5"/>
      <c r="G77" s="5"/>
      <c r="H77" s="5"/>
      <c r="I77" s="5"/>
      <c r="J77" s="26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2">
      <c r="A78" s="117" t="s">
        <v>2062</v>
      </c>
      <c r="B78" s="689">
        <f>B76/B70</f>
        <v>0.42471712499957986</v>
      </c>
      <c r="C78" s="690" t="str">
        <f>IF(B78&gt;1,"OK","ERROR")</f>
        <v>ERROR</v>
      </c>
      <c r="D78" s="5"/>
      <c r="E78" s="5"/>
      <c r="F78" s="5"/>
      <c r="G78" s="5"/>
      <c r="H78" s="5"/>
      <c r="I78" s="64" t="s">
        <v>2199</v>
      </c>
      <c r="J78" s="689">
        <f>J76/J70</f>
        <v>0.42471712499957992</v>
      </c>
      <c r="K78" s="690" t="str">
        <f>IF(J78&gt;1,"OK","ERROR")</f>
        <v>ERROR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">
      <c r="A79" s="5"/>
      <c r="B79" s="265"/>
      <c r="C79" s="5"/>
      <c r="D79" s="5"/>
      <c r="E79" s="5"/>
      <c r="F79" s="5"/>
      <c r="G79" s="5"/>
      <c r="H79" s="5"/>
      <c r="I79" s="5"/>
      <c r="J79" s="26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">
      <c r="A80" s="5" t="s">
        <v>2063</v>
      </c>
      <c r="B80" s="265">
        <f>B74/(B30*1000)</f>
        <v>3.6387090665193171</v>
      </c>
      <c r="C80" s="5" t="s">
        <v>2064</v>
      </c>
      <c r="D80" s="5"/>
      <c r="E80" s="5"/>
      <c r="F80" s="5"/>
      <c r="G80" s="5"/>
      <c r="H80" s="5"/>
      <c r="I80" s="5" t="s">
        <v>2063</v>
      </c>
      <c r="J80" s="265">
        <f>B80*145.04</f>
        <v>527.75836300796175</v>
      </c>
      <c r="K80" s="64" t="s">
        <v>2065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3.5" customHeight="1" thickBo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7.25" customHeight="1" thickTop="1" thickBot="1" x14ac:dyDescent="0.3">
      <c r="A83" s="28"/>
      <c r="B83" s="4"/>
      <c r="C83" s="408"/>
      <c r="D83" s="934" t="str">
        <f>'Front Page'!$A$13</f>
        <v>Mechanical  Calculations</v>
      </c>
      <c r="E83" s="842"/>
      <c r="F83" s="842"/>
      <c r="G83" s="842"/>
      <c r="H83" s="859"/>
      <c r="I83" s="28"/>
      <c r="J83" s="4"/>
      <c r="K83" s="408"/>
      <c r="L83" s="934" t="str">
        <f>'Front Page'!$A$13</f>
        <v>Mechanical  Calculations</v>
      </c>
      <c r="M83" s="842"/>
      <c r="N83" s="842"/>
      <c r="O83" s="842"/>
      <c r="P83" s="859"/>
      <c r="Q83" s="5"/>
      <c r="R83" s="5"/>
      <c r="S83" s="5"/>
      <c r="T83" s="5"/>
      <c r="U83" s="5"/>
      <c r="V83" s="5"/>
      <c r="W83" s="5"/>
      <c r="X83" s="5"/>
      <c r="Y83" s="5"/>
    </row>
    <row r="84" spans="1:25" ht="16.5" customHeight="1" thickBot="1" x14ac:dyDescent="0.3">
      <c r="A84" s="6"/>
      <c r="B84" s="5"/>
      <c r="C84" s="14"/>
      <c r="D84" s="984"/>
      <c r="E84" s="831"/>
      <c r="F84" s="831"/>
      <c r="G84" s="831"/>
      <c r="H84" s="854"/>
      <c r="I84" s="6"/>
      <c r="J84" s="5"/>
      <c r="K84" s="14"/>
      <c r="L84" s="984"/>
      <c r="M84" s="831"/>
      <c r="N84" s="831"/>
      <c r="O84" s="831"/>
      <c r="P84" s="854"/>
      <c r="Q84" s="5"/>
      <c r="R84" s="5"/>
      <c r="S84" s="5"/>
      <c r="T84" s="5"/>
      <c r="U84" s="5"/>
      <c r="V84" s="5"/>
      <c r="W84" s="5"/>
      <c r="X84" s="5"/>
      <c r="Y84" s="5"/>
    </row>
    <row r="85" spans="1:25" ht="16.5" customHeight="1" thickBot="1" x14ac:dyDescent="0.3">
      <c r="A85" s="8"/>
      <c r="B85" s="9"/>
      <c r="C85" s="409"/>
      <c r="D85" s="985" t="s">
        <v>2208</v>
      </c>
      <c r="E85" s="834"/>
      <c r="F85" s="834"/>
      <c r="G85" s="834"/>
      <c r="H85" s="986"/>
      <c r="I85" s="8"/>
      <c r="J85" s="9"/>
      <c r="K85" s="409"/>
      <c r="L85" s="985" t="s">
        <v>2208</v>
      </c>
      <c r="M85" s="834"/>
      <c r="N85" s="834"/>
      <c r="O85" s="834"/>
      <c r="P85" s="986"/>
      <c r="Q85" s="5"/>
      <c r="R85" s="5"/>
      <c r="S85" s="5"/>
      <c r="T85" s="5"/>
      <c r="U85" s="5"/>
      <c r="V85" s="5"/>
      <c r="W85" s="5"/>
      <c r="X85" s="5"/>
      <c r="Y85" s="5"/>
    </row>
    <row r="86" spans="1:25" ht="16.5" customHeight="1" thickTop="1" thickBot="1" x14ac:dyDescent="0.3">
      <c r="A86" s="873"/>
      <c r="B86" s="848"/>
      <c r="C86" s="865"/>
      <c r="D86" s="385" t="str">
        <f>'Front Page'!$D$4</f>
        <v>Doc Nº</v>
      </c>
      <c r="E86" s="980"/>
      <c r="F86" s="843"/>
      <c r="G86" s="980"/>
      <c r="H86" s="843"/>
      <c r="I86" s="873"/>
      <c r="J86" s="848"/>
      <c r="K86" s="865"/>
      <c r="L86" s="385" t="str">
        <f>'Front Page'!$D$4</f>
        <v>Doc Nº</v>
      </c>
      <c r="M86" s="980"/>
      <c r="N86" s="843"/>
      <c r="O86" s="980"/>
      <c r="P86" s="843"/>
      <c r="Q86" s="5"/>
      <c r="R86" s="5"/>
      <c r="S86" s="5"/>
      <c r="T86" s="5"/>
      <c r="U86" s="5"/>
      <c r="V86" s="5"/>
      <c r="W86" s="5"/>
      <c r="X86" s="5"/>
      <c r="Y86" s="5"/>
    </row>
    <row r="87" spans="1:25" ht="15.75" customHeight="1" thickBot="1" x14ac:dyDescent="0.3">
      <c r="A87" s="860"/>
      <c r="B87" s="851"/>
      <c r="C87" s="861"/>
      <c r="D87" s="386" t="str">
        <f>'Front Page'!$D$5</f>
        <v>Project</v>
      </c>
      <c r="E87" s="899"/>
      <c r="F87" s="835"/>
      <c r="G87" s="131" t="s">
        <v>5</v>
      </c>
      <c r="H87" s="132"/>
      <c r="I87" s="860"/>
      <c r="J87" s="851"/>
      <c r="K87" s="861"/>
      <c r="L87" s="386" t="str">
        <f>'Front Page'!$D$5</f>
        <v>Project</v>
      </c>
      <c r="M87" s="899"/>
      <c r="N87" s="835"/>
      <c r="O87" s="131" t="s">
        <v>5</v>
      </c>
      <c r="P87" s="427"/>
      <c r="Q87" s="5"/>
      <c r="R87" s="5"/>
      <c r="S87" s="5"/>
      <c r="T87" s="5"/>
      <c r="U87" s="5"/>
      <c r="V87" s="5"/>
      <c r="W87" s="5"/>
      <c r="X87" s="5"/>
      <c r="Y87" s="5"/>
    </row>
    <row r="88" spans="1:25" ht="13.5" customHeight="1" thickTop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20.25" customHeight="1" x14ac:dyDescent="0.3">
      <c r="A91" s="63" t="s">
        <v>2066</v>
      </c>
      <c r="B91" s="5"/>
      <c r="C91" s="5"/>
      <c r="D91" s="5"/>
      <c r="E91" s="5"/>
      <c r="F91" s="5"/>
      <c r="G91" s="5"/>
      <c r="H91" s="5"/>
      <c r="I91" s="63" t="s">
        <v>2066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39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38.25" customHeight="1" x14ac:dyDescent="0.2">
      <c r="A93" s="82" t="s">
        <v>2068</v>
      </c>
      <c r="B93" s="691">
        <f>(0.5-0.094*B36/B37)*B37</f>
        <v>2.2569216465781374</v>
      </c>
      <c r="C93" s="1064" t="s">
        <v>2069</v>
      </c>
      <c r="D93" s="809"/>
      <c r="E93" s="809"/>
      <c r="F93" s="809"/>
      <c r="G93" s="809"/>
      <c r="H93" s="809"/>
      <c r="I93" s="82" t="s">
        <v>2068</v>
      </c>
      <c r="J93" s="635">
        <f>B93*1000/25.4</f>
        <v>88.855182936147145</v>
      </c>
      <c r="K93" s="1068" t="s">
        <v>2070</v>
      </c>
      <c r="L93" s="809"/>
      <c r="M93" s="809"/>
      <c r="N93" s="809"/>
      <c r="O93" s="809"/>
      <c r="P93" s="809"/>
      <c r="Q93" s="5"/>
      <c r="R93" s="5"/>
      <c r="S93" s="5"/>
      <c r="T93" s="5"/>
      <c r="U93" s="5"/>
      <c r="V93" s="5"/>
      <c r="W93" s="5"/>
      <c r="X93" s="5"/>
      <c r="Y93" s="5"/>
    </row>
    <row r="94" spans="1:25" ht="39.75" customHeight="1" x14ac:dyDescent="0.2">
      <c r="A94" s="82" t="s">
        <v>2071</v>
      </c>
      <c r="B94" s="691">
        <f>(0.5+0.06*B36/B37)*B37</f>
        <v>5.8605216465781371</v>
      </c>
      <c r="C94" s="1064" t="s">
        <v>2072</v>
      </c>
      <c r="D94" s="809"/>
      <c r="E94" s="809"/>
      <c r="F94" s="809"/>
      <c r="G94" s="809"/>
      <c r="H94" s="809"/>
      <c r="I94" s="82" t="s">
        <v>2071</v>
      </c>
      <c r="J94" s="635">
        <f>B94*1000/25.4</f>
        <v>230.72919868417864</v>
      </c>
      <c r="K94" s="1068" t="s">
        <v>2218</v>
      </c>
      <c r="L94" s="809"/>
      <c r="M94" s="809"/>
      <c r="N94" s="809"/>
      <c r="O94" s="809"/>
      <c r="P94" s="809"/>
      <c r="Q94" s="5"/>
      <c r="R94" s="5"/>
      <c r="S94" s="5"/>
      <c r="T94" s="5"/>
      <c r="U94" s="5"/>
      <c r="V94" s="5"/>
      <c r="W94" s="5"/>
      <c r="X94" s="5"/>
      <c r="Y94" s="5"/>
    </row>
    <row r="95" spans="1:25" ht="54" customHeight="1" x14ac:dyDescent="0.2">
      <c r="A95" s="82" t="s">
        <v>2074</v>
      </c>
      <c r="B95" s="691">
        <f>(1-(COSH(3.67*B37/B36)-1)/(3.67*B37/B36*SINH(3.67*B37/B36)))*B37</f>
        <v>5.063832568568011</v>
      </c>
      <c r="C95" s="1065" t="s">
        <v>2075</v>
      </c>
      <c r="D95" s="809"/>
      <c r="E95" s="809"/>
      <c r="F95" s="809"/>
      <c r="G95" s="809"/>
      <c r="H95" s="809"/>
      <c r="I95" s="82" t="s">
        <v>2074</v>
      </c>
      <c r="J95" s="635">
        <f>B95*1000/25.4</f>
        <v>199.3634869514965</v>
      </c>
      <c r="K95" s="900" t="s">
        <v>2076</v>
      </c>
      <c r="L95" s="809"/>
      <c r="M95" s="809"/>
      <c r="N95" s="809"/>
      <c r="O95" s="809"/>
      <c r="P95" s="809"/>
      <c r="Q95" s="5"/>
      <c r="R95" s="5"/>
      <c r="S95" s="5"/>
      <c r="T95" s="5"/>
      <c r="U95" s="5"/>
      <c r="V95" s="5"/>
      <c r="W95" s="5"/>
      <c r="X95" s="5"/>
      <c r="Y95" s="5"/>
    </row>
    <row r="96" spans="1:25" ht="44.25" customHeight="1" x14ac:dyDescent="0.2">
      <c r="A96" s="82" t="s">
        <v>2077</v>
      </c>
      <c r="B96" s="691">
        <f>B37*(1-(COSH(3.67*B37/B36)-1.937)/(3.67*B37/B36*SINH(3.67*B37/B36)))</f>
        <v>8.2085662509467756</v>
      </c>
      <c r="C96" s="1064" t="s">
        <v>2078</v>
      </c>
      <c r="D96" s="809"/>
      <c r="E96" s="809"/>
      <c r="F96" s="809"/>
      <c r="G96" s="809"/>
      <c r="H96" s="809"/>
      <c r="I96" s="82" t="s">
        <v>2077</v>
      </c>
      <c r="J96" s="635">
        <f>B96*1000/25.4</f>
        <v>323.17189964357385</v>
      </c>
      <c r="K96" s="1068" t="s">
        <v>2079</v>
      </c>
      <c r="L96" s="809"/>
      <c r="M96" s="809"/>
      <c r="N96" s="809"/>
      <c r="O96" s="809"/>
      <c r="P96" s="809"/>
      <c r="Q96" s="5"/>
      <c r="R96" s="5"/>
      <c r="S96" s="5"/>
      <c r="T96" s="5"/>
      <c r="U96" s="5"/>
      <c r="V96" s="5"/>
      <c r="W96" s="5"/>
      <c r="X96" s="5"/>
      <c r="Y96" s="5"/>
    </row>
    <row r="97" spans="1:25" ht="12.75" customHeight="1" x14ac:dyDescent="0.2">
      <c r="A97" s="5"/>
      <c r="B97" s="265"/>
      <c r="C97" s="212"/>
      <c r="D97" s="212"/>
      <c r="E97" s="212"/>
      <c r="F97" s="212"/>
      <c r="G97" s="212"/>
      <c r="H97" s="212"/>
      <c r="I97" s="5"/>
      <c r="J97" s="635"/>
      <c r="K97" s="212"/>
      <c r="L97" s="212"/>
      <c r="M97" s="212"/>
      <c r="N97" s="212"/>
      <c r="O97" s="212"/>
      <c r="P97" s="212"/>
      <c r="Q97" s="5"/>
      <c r="R97" s="5"/>
      <c r="S97" s="5"/>
      <c r="T97" s="5"/>
      <c r="U97" s="5"/>
      <c r="V97" s="5"/>
      <c r="W97" s="5"/>
      <c r="X97" s="5"/>
      <c r="Y97" s="5"/>
    </row>
    <row r="98" spans="1:25" ht="12.75" customHeight="1" x14ac:dyDescent="0.2">
      <c r="A98" s="5" t="s">
        <v>1689</v>
      </c>
      <c r="B98" s="729">
        <f>SQRT((B55*(B67*B93+B32*B24+B33*B25+B38*B37/2+B39*B25))^2+(B56*(B68*B95))^2)</f>
        <v>6172149.9329224946</v>
      </c>
      <c r="C98" s="1054" t="s">
        <v>2081</v>
      </c>
      <c r="D98" s="809"/>
      <c r="E98" s="809"/>
      <c r="F98" s="809"/>
      <c r="G98" s="809"/>
      <c r="H98" s="809"/>
      <c r="I98" s="5" t="s">
        <v>1689</v>
      </c>
      <c r="J98" s="635">
        <f>B98*0.7375</f>
        <v>4551960.57553034</v>
      </c>
      <c r="K98" s="901" t="s">
        <v>2219</v>
      </c>
      <c r="L98" s="809"/>
      <c r="M98" s="809"/>
      <c r="N98" s="809"/>
      <c r="O98" s="809"/>
      <c r="P98" s="809"/>
      <c r="Q98" s="5"/>
      <c r="R98" s="5"/>
      <c r="S98" s="688">
        <v>1624904.795807342</v>
      </c>
      <c r="T98" s="5"/>
      <c r="U98" s="5"/>
      <c r="V98" s="5"/>
      <c r="W98" s="5"/>
      <c r="X98" s="5"/>
      <c r="Y98" s="5"/>
    </row>
    <row r="99" spans="1:25" ht="12.75" customHeight="1" x14ac:dyDescent="0.2">
      <c r="A99" s="5" t="s">
        <v>2083</v>
      </c>
      <c r="B99" s="729">
        <f>SQRT((B55*(B67*B94+B32*B24+B33*B25+B38*B37/4+B39*B25))^2+(B56*(B68*B96))^2)</f>
        <v>5997953.5404994879</v>
      </c>
      <c r="C99" s="1054" t="s">
        <v>2084</v>
      </c>
      <c r="D99" s="809"/>
      <c r="E99" s="809"/>
      <c r="F99" s="809"/>
      <c r="G99" s="809"/>
      <c r="H99" s="809"/>
      <c r="I99" s="5" t="s">
        <v>2083</v>
      </c>
      <c r="J99" s="635">
        <f>B99*0.7375</f>
        <v>4423490.7361183725</v>
      </c>
      <c r="K99" s="901" t="s">
        <v>2220</v>
      </c>
      <c r="L99" s="809"/>
      <c r="M99" s="809"/>
      <c r="N99" s="809"/>
      <c r="O99" s="809"/>
      <c r="P99" s="809"/>
      <c r="Q99" s="5"/>
      <c r="R99" s="5"/>
      <c r="S99" s="688">
        <v>1533178.435706442</v>
      </c>
      <c r="T99" s="5"/>
      <c r="U99" s="5"/>
      <c r="V99" s="5"/>
      <c r="W99" s="5"/>
      <c r="X99" s="5"/>
      <c r="Y99" s="5"/>
    </row>
    <row r="100" spans="1:25" x14ac:dyDescent="0.2">
      <c r="A100" s="5"/>
      <c r="B100" s="265"/>
      <c r="C100" s="5"/>
      <c r="D100" s="5"/>
      <c r="E100" s="5"/>
      <c r="F100" s="5"/>
      <c r="G100" s="5"/>
      <c r="H100" s="5"/>
      <c r="I100" s="5"/>
      <c r="J100" s="26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20.25" customHeight="1" x14ac:dyDescent="0.3">
      <c r="A101" s="63" t="s">
        <v>2200</v>
      </c>
      <c r="B101" s="265"/>
      <c r="C101" s="5"/>
      <c r="D101" s="5"/>
      <c r="E101" s="5"/>
      <c r="F101" s="5"/>
      <c r="G101" s="5"/>
      <c r="H101" s="5"/>
      <c r="I101" s="63" t="s">
        <v>2200</v>
      </c>
      <c r="J101" s="26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">
      <c r="A102" s="5"/>
      <c r="B102" s="265"/>
      <c r="C102" s="5"/>
      <c r="D102" s="5"/>
      <c r="E102" s="5"/>
      <c r="F102" s="5"/>
      <c r="G102" s="5"/>
      <c r="H102" s="5"/>
      <c r="I102" s="5"/>
      <c r="J102" s="26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39.75" customHeight="1" x14ac:dyDescent="0.2">
      <c r="A103" s="82" t="s">
        <v>2089</v>
      </c>
      <c r="B103" s="686">
        <f>(B49*(1+0.4*B9)+1.273*B98/B36^2)/(1000*B30)</f>
        <v>4.8123804156726582</v>
      </c>
      <c r="C103" s="1054" t="s">
        <v>2221</v>
      </c>
      <c r="D103" s="809"/>
      <c r="E103" s="809"/>
      <c r="F103" s="809"/>
      <c r="G103" s="809"/>
      <c r="H103" s="809"/>
      <c r="I103" s="82" t="s">
        <v>2089</v>
      </c>
      <c r="J103" s="686">
        <f>B103*145.04</f>
        <v>697.98765548916231</v>
      </c>
      <c r="K103" s="901" t="s">
        <v>2222</v>
      </c>
      <c r="L103" s="809"/>
      <c r="M103" s="809"/>
      <c r="N103" s="809"/>
      <c r="O103" s="809"/>
      <c r="P103" s="809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6.5" customHeight="1" x14ac:dyDescent="0.2">
      <c r="A104" s="5" t="s">
        <v>2094</v>
      </c>
      <c r="B104" s="265">
        <f>IF(B106&lt;44,83*B30/(2.5*B36)+7.5*(B37*B31*0.001)^0.5,83*B30/(B36))</f>
        <v>8.7267692168652342</v>
      </c>
      <c r="C104" s="982" t="s">
        <v>2095</v>
      </c>
      <c r="D104" s="809"/>
      <c r="E104" s="809"/>
      <c r="F104" s="809"/>
      <c r="G104" s="809"/>
      <c r="H104" s="809"/>
      <c r="I104" s="5" t="s">
        <v>2094</v>
      </c>
      <c r="J104" s="686">
        <f>B104*145.04</f>
        <v>1265.7306072141334</v>
      </c>
      <c r="K104" s="901" t="s">
        <v>2096</v>
      </c>
      <c r="L104" s="809"/>
      <c r="M104" s="809"/>
      <c r="N104" s="809"/>
      <c r="O104" s="809"/>
      <c r="P104" s="809"/>
      <c r="Q104" s="5"/>
      <c r="R104" s="5" t="s">
        <v>1435</v>
      </c>
      <c r="S104" s="5"/>
      <c r="T104" s="5"/>
      <c r="U104" s="5"/>
      <c r="V104" s="5"/>
      <c r="W104" s="5"/>
      <c r="X104" s="5"/>
      <c r="Y104" s="5"/>
    </row>
    <row r="105" spans="1:25" ht="12.75" customHeight="1" x14ac:dyDescent="0.2">
      <c r="A105" s="5"/>
      <c r="B105" s="5"/>
      <c r="C105" s="809"/>
      <c r="D105" s="809"/>
      <c r="E105" s="809"/>
      <c r="F105" s="809"/>
      <c r="G105" s="809"/>
      <c r="H105" s="809"/>
      <c r="I105" s="5"/>
      <c r="J105" s="5"/>
      <c r="K105" s="809"/>
      <c r="L105" s="809"/>
      <c r="M105" s="809"/>
      <c r="N105" s="809"/>
      <c r="O105" s="809"/>
      <c r="P105" s="809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" customHeight="1" x14ac:dyDescent="0.2">
      <c r="A106" s="5" t="s">
        <v>2097</v>
      </c>
      <c r="B106" s="265">
        <f>B31*B37*B36^2/B30^2</f>
        <v>12.3773025690372</v>
      </c>
      <c r="C106" s="5" t="s">
        <v>2223</v>
      </c>
      <c r="D106" s="5"/>
      <c r="E106" s="5"/>
      <c r="F106" s="5"/>
      <c r="G106" s="5"/>
      <c r="H106" s="5"/>
      <c r="I106" s="5" t="s">
        <v>2097</v>
      </c>
      <c r="J106" s="265">
        <f>B106</f>
        <v>12.3773025690372</v>
      </c>
      <c r="K106" s="5" t="s">
        <v>2223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x14ac:dyDescent="0.2">
      <c r="A107" s="5"/>
      <c r="B107" s="265"/>
      <c r="C107" s="5"/>
      <c r="D107" s="5"/>
      <c r="E107" s="5"/>
      <c r="F107" s="5"/>
      <c r="G107" s="5"/>
      <c r="H107" s="5"/>
      <c r="I107" s="5"/>
      <c r="J107" s="265"/>
      <c r="K107" s="5"/>
      <c r="L107" s="5"/>
      <c r="M107" s="5"/>
      <c r="N107" s="5"/>
      <c r="O107" s="5"/>
      <c r="P107" s="5"/>
      <c r="Q107" s="5"/>
      <c r="R107" s="5" t="s">
        <v>2103</v>
      </c>
      <c r="S107" s="730">
        <f>(B49*(1+0.44*B9)+1.273*B98/B36^2)</f>
        <v>29193.785015263064</v>
      </c>
      <c r="T107" s="982" t="s">
        <v>2110</v>
      </c>
      <c r="U107" s="809"/>
      <c r="V107" s="809"/>
      <c r="W107" s="809"/>
      <c r="X107" s="809"/>
      <c r="Y107" s="809"/>
    </row>
    <row r="108" spans="1:25" x14ac:dyDescent="0.2">
      <c r="A108" s="5" t="s">
        <v>2101</v>
      </c>
      <c r="B108" s="265">
        <f>(1.273*B98/B36^2-B49*(1-0.4*B9))</f>
        <v>6214.5292155173765</v>
      </c>
      <c r="C108" s="5" t="s">
        <v>2102</v>
      </c>
      <c r="D108" s="5"/>
      <c r="E108" s="5"/>
      <c r="F108" s="5"/>
      <c r="G108" s="5"/>
      <c r="H108" s="5"/>
      <c r="I108" s="5" t="s">
        <v>2101</v>
      </c>
      <c r="J108" s="265">
        <f>B108</f>
        <v>6214.5292155173765</v>
      </c>
      <c r="K108" s="5" t="s">
        <v>2102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x14ac:dyDescent="0.2">
      <c r="A109" s="5" t="s">
        <v>2104</v>
      </c>
      <c r="B109" s="265">
        <f>B108/+'Outer Tank Anchors'!B19</f>
        <v>194.20403798491802</v>
      </c>
      <c r="C109" s="266" t="s">
        <v>2224</v>
      </c>
      <c r="D109" s="266"/>
      <c r="E109" s="266"/>
      <c r="F109" s="266"/>
      <c r="G109" s="266"/>
      <c r="H109" s="266"/>
      <c r="I109" s="5" t="s">
        <v>2104</v>
      </c>
      <c r="J109" s="265">
        <f>B109*0.225</f>
        <v>43.695908546606553</v>
      </c>
      <c r="K109" s="64" t="s">
        <v>2225</v>
      </c>
      <c r="L109" s="266"/>
      <c r="M109" s="266"/>
      <c r="N109" s="266"/>
      <c r="O109" s="5"/>
      <c r="P109" s="5"/>
      <c r="Q109" s="266" t="s">
        <v>2226</v>
      </c>
      <c r="R109" s="5"/>
      <c r="S109" s="5"/>
      <c r="T109" s="5"/>
      <c r="U109" s="5"/>
      <c r="V109" s="5"/>
      <c r="W109" s="5"/>
      <c r="X109" s="5"/>
      <c r="Y109" s="5"/>
    </row>
    <row r="110" spans="1:25" ht="12.75" customHeight="1" x14ac:dyDescent="0.2">
      <c r="A110" s="5" t="s">
        <v>2107</v>
      </c>
      <c r="B110" s="265">
        <f>B109/+'Outer Tank Anchors'!B13</f>
        <v>0.1401747510825665</v>
      </c>
      <c r="C110" s="266" t="s">
        <v>2227</v>
      </c>
      <c r="D110" s="266"/>
      <c r="E110" s="266"/>
      <c r="F110" s="266"/>
      <c r="G110" s="266"/>
      <c r="H110" s="266"/>
      <c r="I110" s="5" t="s">
        <v>2107</v>
      </c>
      <c r="J110" s="686">
        <f>B110*145.04</f>
        <v>20.330945897015443</v>
      </c>
      <c r="K110" s="64" t="s">
        <v>2228</v>
      </c>
      <c r="L110" s="266"/>
      <c r="M110" s="266"/>
      <c r="N110" s="266"/>
      <c r="O110" s="5"/>
      <c r="P110" s="5"/>
      <c r="Q110" s="5"/>
      <c r="R110" s="5"/>
      <c r="S110" s="5">
        <f>S107/1000/('Main Dimensions Calcs'!E86*1000)</f>
        <v>3.243753890584785E-2</v>
      </c>
      <c r="T110" s="5" t="s">
        <v>2113</v>
      </c>
      <c r="U110" s="5"/>
      <c r="V110" s="5"/>
      <c r="W110" s="5"/>
      <c r="X110" s="5"/>
      <c r="Y110" s="5"/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4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x14ac:dyDescent="0.2">
      <c r="A113" s="998" t="s">
        <v>2229</v>
      </c>
      <c r="B113" s="809"/>
      <c r="C113" s="809"/>
      <c r="D113" s="809"/>
      <c r="E113" s="809"/>
      <c r="F113" s="809"/>
      <c r="G113" s="809"/>
      <c r="H113" s="809"/>
      <c r="I113" s="998" t="s">
        <v>2229</v>
      </c>
      <c r="J113" s="809"/>
      <c r="K113" s="809"/>
      <c r="L113" s="809"/>
      <c r="M113" s="809"/>
      <c r="N113" s="809"/>
      <c r="O113" s="809"/>
      <c r="P113" s="809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2.75" customHeight="1" x14ac:dyDescent="0.2">
      <c r="A114" s="809"/>
      <c r="B114" s="809"/>
      <c r="C114" s="809"/>
      <c r="D114" s="809"/>
      <c r="E114" s="809"/>
      <c r="F114" s="809"/>
      <c r="G114" s="809"/>
      <c r="H114" s="809"/>
      <c r="I114" s="809"/>
      <c r="J114" s="809"/>
      <c r="K114" s="809"/>
      <c r="L114" s="809"/>
      <c r="M114" s="809"/>
      <c r="N114" s="809"/>
      <c r="O114" s="809"/>
      <c r="P114" s="809"/>
      <c r="Q114" s="5"/>
      <c r="R114" s="5"/>
      <c r="S114" s="5"/>
      <c r="T114" s="5"/>
      <c r="U114" s="5"/>
      <c r="V114" s="5"/>
      <c r="W114" s="5"/>
      <c r="X114" s="5"/>
      <c r="Y114" s="5"/>
    </row>
    <row r="115" spans="1:25" x14ac:dyDescent="0.2">
      <c r="A115" s="809"/>
      <c r="B115" s="809"/>
      <c r="C115" s="809"/>
      <c r="D115" s="809"/>
      <c r="E115" s="809"/>
      <c r="F115" s="809"/>
      <c r="G115" s="809"/>
      <c r="H115" s="809"/>
      <c r="I115" s="809"/>
      <c r="J115" s="809"/>
      <c r="K115" s="809"/>
      <c r="L115" s="809"/>
      <c r="M115" s="809"/>
      <c r="N115" s="809"/>
      <c r="O115" s="809"/>
      <c r="P115" s="809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27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3.5" customHeight="1" thickBo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7.25" customHeight="1" thickTop="1" thickBot="1" x14ac:dyDescent="0.3">
      <c r="A123" s="28"/>
      <c r="B123" s="4"/>
      <c r="C123" s="408"/>
      <c r="D123" s="934" t="str">
        <f>'Front Page'!$A$13</f>
        <v>Mechanical  Calculations</v>
      </c>
      <c r="E123" s="842"/>
      <c r="F123" s="842"/>
      <c r="G123" s="842"/>
      <c r="H123" s="859"/>
      <c r="I123" s="28"/>
      <c r="J123" s="4"/>
      <c r="K123" s="408"/>
      <c r="L123" s="934" t="str">
        <f>'Front Page'!$A$13</f>
        <v>Mechanical  Calculations</v>
      </c>
      <c r="M123" s="842"/>
      <c r="N123" s="842"/>
      <c r="O123" s="842"/>
      <c r="P123" s="859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6.5" customHeight="1" thickBot="1" x14ac:dyDescent="0.3">
      <c r="A124" s="6"/>
      <c r="B124" s="5"/>
      <c r="C124" s="14"/>
      <c r="D124" s="984"/>
      <c r="E124" s="831"/>
      <c r="F124" s="831"/>
      <c r="G124" s="831"/>
      <c r="H124" s="854"/>
      <c r="I124" s="6"/>
      <c r="J124" s="5"/>
      <c r="K124" s="14"/>
      <c r="L124" s="984"/>
      <c r="M124" s="831"/>
      <c r="N124" s="831"/>
      <c r="O124" s="831"/>
      <c r="P124" s="854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6.5" customHeight="1" thickBot="1" x14ac:dyDescent="0.3">
      <c r="A125" s="8"/>
      <c r="B125" s="9"/>
      <c r="C125" s="409"/>
      <c r="D125" s="985" t="s">
        <v>2208</v>
      </c>
      <c r="E125" s="834"/>
      <c r="F125" s="834"/>
      <c r="G125" s="834"/>
      <c r="H125" s="986"/>
      <c r="I125" s="8"/>
      <c r="J125" s="9"/>
      <c r="K125" s="409"/>
      <c r="L125" s="985" t="s">
        <v>2208</v>
      </c>
      <c r="M125" s="834"/>
      <c r="N125" s="834"/>
      <c r="O125" s="834"/>
      <c r="P125" s="986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6.5" customHeight="1" thickTop="1" thickBot="1" x14ac:dyDescent="0.3">
      <c r="A126" s="873"/>
      <c r="B126" s="848"/>
      <c r="C126" s="865"/>
      <c r="D126" s="385" t="str">
        <f>'Front Page'!$D$4</f>
        <v>Doc Nº</v>
      </c>
      <c r="E126" s="980"/>
      <c r="F126" s="843"/>
      <c r="G126" s="980"/>
      <c r="H126" s="843"/>
      <c r="I126" s="873"/>
      <c r="J126" s="848"/>
      <c r="K126" s="865"/>
      <c r="L126" s="385" t="str">
        <f>'Front Page'!$D$4</f>
        <v>Doc Nº</v>
      </c>
      <c r="M126" s="980"/>
      <c r="N126" s="843"/>
      <c r="O126" s="980"/>
      <c r="P126" s="843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.75" customHeight="1" thickBot="1" x14ac:dyDescent="0.3">
      <c r="A127" s="860"/>
      <c r="B127" s="851"/>
      <c r="C127" s="861"/>
      <c r="D127" s="386" t="str">
        <f>'Front Page'!$D$5</f>
        <v>Project</v>
      </c>
      <c r="E127" s="899"/>
      <c r="F127" s="835"/>
      <c r="G127" s="131" t="s">
        <v>5</v>
      </c>
      <c r="H127" s="132"/>
      <c r="I127" s="860"/>
      <c r="J127" s="851"/>
      <c r="K127" s="861"/>
      <c r="L127" s="386" t="str">
        <f>'Front Page'!$D$5</f>
        <v>Project</v>
      </c>
      <c r="M127" s="899"/>
      <c r="N127" s="835"/>
      <c r="O127" s="131" t="s">
        <v>5</v>
      </c>
      <c r="P127" s="427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3.5" customHeight="1" thickTop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x14ac:dyDescent="0.2">
      <c r="A129" s="927" t="s">
        <v>2114</v>
      </c>
      <c r="B129" s="809"/>
      <c r="C129" s="809"/>
      <c r="D129" s="809"/>
      <c r="E129" s="809"/>
      <c r="F129" s="809"/>
      <c r="G129" s="809"/>
      <c r="H129" s="809"/>
      <c r="I129" s="927" t="s">
        <v>2230</v>
      </c>
      <c r="J129" s="809"/>
      <c r="K129" s="809"/>
      <c r="L129" s="809"/>
      <c r="M129" s="809"/>
      <c r="N129" s="809"/>
      <c r="O129" s="809"/>
      <c r="P129" s="809"/>
      <c r="Q129" s="5"/>
      <c r="R129" s="5"/>
      <c r="S129" s="5"/>
      <c r="T129" s="5"/>
      <c r="U129" s="5"/>
      <c r="V129" s="5"/>
      <c r="W129" s="5"/>
      <c r="X129" s="5"/>
      <c r="Y129" s="5"/>
    </row>
    <row r="130" spans="1:25" x14ac:dyDescent="0.2">
      <c r="A130" s="809"/>
      <c r="B130" s="809"/>
      <c r="C130" s="809"/>
      <c r="D130" s="809"/>
      <c r="E130" s="809"/>
      <c r="F130" s="809"/>
      <c r="G130" s="809"/>
      <c r="H130" s="809"/>
      <c r="I130" s="809"/>
      <c r="J130" s="809"/>
      <c r="K130" s="809"/>
      <c r="L130" s="809"/>
      <c r="M130" s="809"/>
      <c r="N130" s="809"/>
      <c r="O130" s="809"/>
      <c r="P130" s="809"/>
      <c r="Q130" s="5"/>
      <c r="R130" s="5"/>
      <c r="S130" s="5"/>
      <c r="T130" s="5"/>
      <c r="U130" s="5"/>
      <c r="V130" s="5"/>
      <c r="W130" s="5"/>
      <c r="X130" s="5"/>
      <c r="Y130" s="5"/>
    </row>
    <row r="131" spans="1:25" x14ac:dyDescent="0.2">
      <c r="A131" s="809"/>
      <c r="B131" s="809"/>
      <c r="C131" s="809"/>
      <c r="D131" s="809"/>
      <c r="E131" s="809"/>
      <c r="F131" s="809"/>
      <c r="G131" s="809"/>
      <c r="H131" s="809"/>
      <c r="I131" s="809"/>
      <c r="J131" s="809"/>
      <c r="K131" s="809"/>
      <c r="L131" s="809"/>
      <c r="M131" s="809"/>
      <c r="N131" s="809"/>
      <c r="O131" s="809"/>
      <c r="P131" s="809"/>
      <c r="Q131" s="5"/>
      <c r="R131" s="5"/>
      <c r="S131" s="5"/>
      <c r="T131" s="5"/>
      <c r="U131" s="5"/>
      <c r="V131" s="5"/>
      <c r="W131" s="5"/>
      <c r="X131" s="5"/>
      <c r="Y131" s="5"/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x14ac:dyDescent="0.2">
      <c r="A133" s="14" t="s">
        <v>2115</v>
      </c>
      <c r="B133" s="14" t="s">
        <v>2116</v>
      </c>
      <c r="C133" s="14" t="s">
        <v>2117</v>
      </c>
      <c r="D133" s="14" t="s">
        <v>2118</v>
      </c>
      <c r="E133" s="14" t="s">
        <v>360</v>
      </c>
      <c r="F133" s="14" t="s">
        <v>2119</v>
      </c>
      <c r="G133" s="14" t="s">
        <v>2120</v>
      </c>
      <c r="H133" s="5"/>
      <c r="I133" s="402" t="s">
        <v>2115</v>
      </c>
      <c r="J133" s="402" t="s">
        <v>2116</v>
      </c>
      <c r="K133" s="402" t="s">
        <v>2117</v>
      </c>
      <c r="L133" s="402" t="s">
        <v>2118</v>
      </c>
      <c r="M133" s="402" t="s">
        <v>360</v>
      </c>
      <c r="N133" s="402" t="s">
        <v>2119</v>
      </c>
      <c r="O133" s="402" t="s">
        <v>2120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55.5" customHeight="1" x14ac:dyDescent="0.2">
      <c r="A134" s="218" t="s">
        <v>2121</v>
      </c>
      <c r="B134" s="218" t="s">
        <v>2122</v>
      </c>
      <c r="C134" s="218" t="s">
        <v>2123</v>
      </c>
      <c r="D134" s="218" t="s">
        <v>2124</v>
      </c>
      <c r="E134" s="218" t="s">
        <v>2125</v>
      </c>
      <c r="F134" s="218" t="s">
        <v>2126</v>
      </c>
      <c r="G134" s="14"/>
      <c r="H134" s="5"/>
      <c r="I134" s="508" t="s">
        <v>2121</v>
      </c>
      <c r="J134" s="508" t="s">
        <v>2122</v>
      </c>
      <c r="K134" s="508" t="s">
        <v>2123</v>
      </c>
      <c r="L134" s="508" t="s">
        <v>2124</v>
      </c>
      <c r="M134" s="508" t="s">
        <v>2125</v>
      </c>
      <c r="N134" s="508" t="s">
        <v>2126</v>
      </c>
      <c r="O134" s="402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58.5" customHeight="1" x14ac:dyDescent="0.2">
      <c r="A135" s="543" t="s">
        <v>2127</v>
      </c>
      <c r="B135" s="543" t="s">
        <v>2128</v>
      </c>
      <c r="C135" s="543" t="s">
        <v>2129</v>
      </c>
      <c r="D135" s="543" t="s">
        <v>2130</v>
      </c>
      <c r="E135" s="543" t="s">
        <v>2131</v>
      </c>
      <c r="F135" s="543" t="s">
        <v>2132</v>
      </c>
      <c r="G135" s="14"/>
      <c r="H135" s="5"/>
      <c r="I135" s="626" t="s">
        <v>2127</v>
      </c>
      <c r="J135" s="626" t="s">
        <v>2128</v>
      </c>
      <c r="K135" s="626" t="s">
        <v>2129</v>
      </c>
      <c r="L135" s="626" t="s">
        <v>2130</v>
      </c>
      <c r="M135" s="626" t="s">
        <v>2131</v>
      </c>
      <c r="N135" s="626" t="s">
        <v>2132</v>
      </c>
      <c r="O135" s="402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2.75" customHeight="1" x14ac:dyDescent="0.2">
      <c r="A136" s="218" t="s">
        <v>940</v>
      </c>
      <c r="B136" s="218" t="s">
        <v>940</v>
      </c>
      <c r="C136" s="218" t="s">
        <v>940</v>
      </c>
      <c r="D136" s="218" t="s">
        <v>247</v>
      </c>
      <c r="E136" s="218" t="s">
        <v>247</v>
      </c>
      <c r="F136" s="218" t="s">
        <v>941</v>
      </c>
      <c r="G136" s="5"/>
      <c r="H136" s="5"/>
      <c r="I136" s="508" t="s">
        <v>940</v>
      </c>
      <c r="J136" s="508" t="s">
        <v>940</v>
      </c>
      <c r="K136" s="508" t="s">
        <v>940</v>
      </c>
      <c r="L136" s="491" t="s">
        <v>248</v>
      </c>
      <c r="M136" s="491" t="s">
        <v>248</v>
      </c>
      <c r="N136" s="491" t="s">
        <v>926</v>
      </c>
      <c r="O136" s="289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2.75" customHeight="1" x14ac:dyDescent="0.2">
      <c r="A137" s="14">
        <f t="shared" ref="A137:A146" si="2">IF(((D137/1000)&lt;($B$36*0.75)),(5.22*$B$55*$B$31*$B$36^2*(D137/(0.75*$B$36)-0.5*(D137*0.001/(0.75*$B$36))^2)), (2.6*$B$55*$B$31*$B$36^2))</f>
        <v>87062.682984098559</v>
      </c>
      <c r="B137" s="14">
        <f t="shared" ref="B137:B146" si="3">1.85*$B$56*$B$31*$B$36^2*COSH(3.68*($B$37-D137/1000)/$B$36)/(COSH(3.68*$B$37/$B$36))</f>
        <v>0</v>
      </c>
      <c r="C137" s="487">
        <f>'Oute Tank Shell'!C58</f>
        <v>135879.40085785001</v>
      </c>
      <c r="D137" s="219">
        <f>'Main Dimensions Calcs'!D30</f>
        <v>8913.0432931562736</v>
      </c>
      <c r="E137" s="219">
        <f>'Main Dimensions Calcs'!H25</f>
        <v>6</v>
      </c>
      <c r="F137" s="14">
        <f t="shared" ref="F137:F146" si="4">(C137+SQRT(A137^2+B137^2+(C137*$B$9)^2))/E137/1000</f>
        <v>44.221107169552241</v>
      </c>
      <c r="G137" s="5">
        <f>'Allowable Stresses'!$G$31:$H$31*1.33/F137</f>
        <v>4.6656994143388149</v>
      </c>
      <c r="H137" s="5"/>
      <c r="I137" s="402">
        <f t="shared" ref="I137:I146" si="5">IF(((L137/1000)&lt;($B$36*0.75)),(5.22*$B$55*$B$31*$B$36^2*(L137/(0.75*$B$36)-0.5*(L137*0.001/(0.75*$B$36))^2)), (2.6*$B$55*$B$31*$B$36^2))</f>
        <v>3428.5010258891607</v>
      </c>
      <c r="J137" s="402">
        <f t="shared" ref="J137:J146" si="6">1.85*$B$56*$B$31*$B$36^2*COSH(3.68*($B$37-L137/1000)/$B$36)/(COSH(3.68*$B$37/$B$36))</f>
        <v>0</v>
      </c>
      <c r="K137" s="721">
        <f>'Oute Tank Shell'!K58</f>
        <v>135879.40085785001</v>
      </c>
      <c r="L137" s="612">
        <f t="shared" ref="L137:L146" si="7">D137/25.4</f>
        <v>350.90721626599503</v>
      </c>
      <c r="M137" s="612">
        <f t="shared" ref="M137:M146" si="8">E137/25.4</f>
        <v>0.23622047244094491</v>
      </c>
      <c r="N137" s="402">
        <f t="shared" ref="N137:N146" si="9">F137*145.04</f>
        <v>6413.8293838718564</v>
      </c>
      <c r="O137" s="478">
        <f t="shared" ref="O137:O146" si="10">G137</f>
        <v>4.6656994143388149</v>
      </c>
      <c r="P137" s="5" t="str">
        <f t="shared" ref="P137:P146" si="11">IF(O137&gt;1,"OK","Error")</f>
        <v>OK</v>
      </c>
      <c r="Q137" s="5"/>
      <c r="R137" s="5"/>
      <c r="S137" s="5"/>
      <c r="T137" s="5"/>
      <c r="U137" s="5"/>
      <c r="V137" s="5"/>
      <c r="W137" s="5"/>
      <c r="X137" s="5"/>
      <c r="Y137" s="5"/>
    </row>
    <row r="138" spans="1:25" x14ac:dyDescent="0.2">
      <c r="A138" s="14">
        <f t="shared" si="2"/>
        <v>65293.939187574921</v>
      </c>
      <c r="B138" s="14">
        <f t="shared" si="3"/>
        <v>0</v>
      </c>
      <c r="C138" s="487">
        <f>'Oute Tank Shell'!C59</f>
        <v>112545.20797584999</v>
      </c>
      <c r="D138" s="219">
        <f>D137-'Main Dimensions Calcs'!I25</f>
        <v>6684.0432931562736</v>
      </c>
      <c r="E138" s="219">
        <f>'Main Dimensions Calcs'!H26</f>
        <v>6</v>
      </c>
      <c r="F138" s="14">
        <f t="shared" si="4"/>
        <v>35.883560830497814</v>
      </c>
      <c r="G138" s="5">
        <f>'Allowable Stresses'!$G$31:$H$31*1.33/F138</f>
        <v>5.7497748006947598</v>
      </c>
      <c r="H138" s="5"/>
      <c r="I138" s="402">
        <f t="shared" si="5"/>
        <v>2571.0978651165506</v>
      </c>
      <c r="J138" s="402">
        <f t="shared" si="6"/>
        <v>0</v>
      </c>
      <c r="K138" s="721">
        <f>'Oute Tank Shell'!K59</f>
        <v>112545.20797584999</v>
      </c>
      <c r="L138" s="612">
        <f t="shared" si="7"/>
        <v>263.15131075418401</v>
      </c>
      <c r="M138" s="612">
        <f t="shared" si="8"/>
        <v>0.23622047244094491</v>
      </c>
      <c r="N138" s="402">
        <f t="shared" si="9"/>
        <v>5204.5516628554024</v>
      </c>
      <c r="O138" s="478">
        <f t="shared" si="10"/>
        <v>5.7497748006947598</v>
      </c>
      <c r="P138" s="5" t="str">
        <f t="shared" si="11"/>
        <v>OK</v>
      </c>
      <c r="Q138" s="5"/>
      <c r="R138" s="5"/>
      <c r="S138" s="5"/>
      <c r="T138" s="5"/>
      <c r="U138" s="5"/>
      <c r="V138" s="5"/>
      <c r="W138" s="5"/>
      <c r="X138" s="5"/>
      <c r="Y138" s="5"/>
    </row>
    <row r="139" spans="1:25" x14ac:dyDescent="0.2">
      <c r="A139" s="14">
        <f t="shared" si="2"/>
        <v>43522.429345407458</v>
      </c>
      <c r="B139" s="14">
        <f t="shared" si="3"/>
        <v>0</v>
      </c>
      <c r="C139" s="487">
        <f>'Oute Tank Shell'!C60</f>
        <v>89211.015093850001</v>
      </c>
      <c r="D139" s="219">
        <f>D138-'Main Dimensions Calcs'!I26</f>
        <v>4455.0432931562736</v>
      </c>
      <c r="E139" s="219">
        <f>'Main Dimensions Calcs'!H27</f>
        <v>6</v>
      </c>
      <c r="F139" s="14">
        <f t="shared" si="4"/>
        <v>27.615863476348267</v>
      </c>
      <c r="G139" s="5">
        <f>'Allowable Stresses'!$G$31:$H$31*1.33/F139</f>
        <v>7.471154903380067</v>
      </c>
      <c r="H139" s="5"/>
      <c r="I139" s="402">
        <f t="shared" si="5"/>
        <v>1713.6904169646175</v>
      </c>
      <c r="J139" s="402">
        <f t="shared" si="6"/>
        <v>0</v>
      </c>
      <c r="K139" s="721">
        <f>'Oute Tank Shell'!K60</f>
        <v>89211.015093850001</v>
      </c>
      <c r="L139" s="612">
        <f t="shared" si="7"/>
        <v>175.39540524237299</v>
      </c>
      <c r="M139" s="612">
        <f t="shared" si="8"/>
        <v>0.23622047244094491</v>
      </c>
      <c r="N139" s="402">
        <f t="shared" si="9"/>
        <v>4005.4048386095524</v>
      </c>
      <c r="O139" s="478">
        <f t="shared" si="10"/>
        <v>7.471154903380067</v>
      </c>
      <c r="P139" s="5" t="str">
        <f t="shared" si="11"/>
        <v>OK</v>
      </c>
      <c r="Q139" s="5"/>
      <c r="R139" s="5"/>
      <c r="S139" s="5"/>
      <c r="T139" s="5"/>
      <c r="U139" s="5"/>
      <c r="V139" s="5"/>
      <c r="W139" s="5"/>
      <c r="X139" s="5"/>
      <c r="Y139" s="5"/>
    </row>
    <row r="140" spans="1:25" x14ac:dyDescent="0.2">
      <c r="A140" s="14">
        <f t="shared" si="2"/>
        <v>21748.153457596167</v>
      </c>
      <c r="B140" s="14">
        <f t="shared" si="3"/>
        <v>0</v>
      </c>
      <c r="C140" s="487">
        <f>'Oute Tank Shell'!C61</f>
        <v>65876.822211849998</v>
      </c>
      <c r="D140" s="219">
        <f>D139-'Main Dimensions Calcs'!I27</f>
        <v>2226.0432931562736</v>
      </c>
      <c r="E140" s="219">
        <f>'Main Dimensions Calcs'!H28</f>
        <v>6</v>
      </c>
      <c r="F140" s="14">
        <f t="shared" si="4"/>
        <v>19.52664218477058</v>
      </c>
      <c r="G140" s="5">
        <f>'Allowable Stresses'!$G$31:$H$31*1.33/F140</f>
        <v>10.566199342932137</v>
      </c>
      <c r="H140" s="5"/>
      <c r="I140" s="402">
        <f t="shared" si="5"/>
        <v>856.27868143336229</v>
      </c>
      <c r="J140" s="402">
        <f t="shared" si="6"/>
        <v>0</v>
      </c>
      <c r="K140" s="721">
        <f>'Oute Tank Shell'!K61</f>
        <v>65876.822211849998</v>
      </c>
      <c r="L140" s="612">
        <f t="shared" si="7"/>
        <v>87.639499730561965</v>
      </c>
      <c r="M140" s="612">
        <f t="shared" si="8"/>
        <v>0.23622047244094491</v>
      </c>
      <c r="N140" s="402">
        <f t="shared" si="9"/>
        <v>2832.144182479125</v>
      </c>
      <c r="O140" s="478">
        <f t="shared" si="10"/>
        <v>10.566199342932137</v>
      </c>
      <c r="P140" s="5" t="str">
        <f t="shared" si="11"/>
        <v>OK</v>
      </c>
      <c r="Q140" s="5"/>
      <c r="R140" s="5"/>
      <c r="S140" s="5"/>
      <c r="T140" s="5"/>
      <c r="U140" s="5"/>
      <c r="V140" s="5"/>
      <c r="W140" s="5"/>
      <c r="X140" s="5"/>
      <c r="Y140" s="5"/>
    </row>
    <row r="141" spans="1:25" x14ac:dyDescent="0.2">
      <c r="A141" s="14">
        <f t="shared" si="2"/>
        <v>-28.888475858951814</v>
      </c>
      <c r="B141" s="14">
        <f t="shared" si="3"/>
        <v>0</v>
      </c>
      <c r="C141" s="487">
        <f>'Oute Tank Shell'!C62</f>
        <v>62603.189999999988</v>
      </c>
      <c r="D141" s="219">
        <f>D140-'Main Dimensions Calcs'!I28</f>
        <v>-2.9567068437263515</v>
      </c>
      <c r="E141" s="219">
        <f>'Main Dimensions Calcs'!H29</f>
        <v>0</v>
      </c>
      <c r="F141" s="14" t="e">
        <f t="shared" si="4"/>
        <v>#DIV/0!</v>
      </c>
      <c r="G141" s="5" t="e">
        <f>'Allowable Stresses'!$G$31:$H$31*1.33/F141</f>
        <v>#DIV/0!</v>
      </c>
      <c r="H141" s="5"/>
      <c r="I141" s="402">
        <f t="shared" si="5"/>
        <v>-1.1373414772161059</v>
      </c>
      <c r="J141" s="402">
        <f t="shared" si="6"/>
        <v>0</v>
      </c>
      <c r="K141" s="721">
        <f>'Oute Tank Shell'!K62</f>
        <v>62603.189999999988</v>
      </c>
      <c r="L141" s="612">
        <f t="shared" si="7"/>
        <v>-0.11640578124906896</v>
      </c>
      <c r="M141" s="612">
        <f t="shared" si="8"/>
        <v>0</v>
      </c>
      <c r="N141" s="402" t="e">
        <f t="shared" si="9"/>
        <v>#DIV/0!</v>
      </c>
      <c r="O141" s="478" t="e">
        <f t="shared" si="10"/>
        <v>#DIV/0!</v>
      </c>
      <c r="P141" s="5" t="e">
        <f t="shared" si="11"/>
        <v>#DIV/0!</v>
      </c>
      <c r="Q141" s="5"/>
      <c r="R141" s="5"/>
      <c r="S141" s="5"/>
      <c r="T141" s="5"/>
      <c r="U141" s="5"/>
      <c r="V141" s="5"/>
      <c r="W141" s="5"/>
      <c r="X141" s="5"/>
      <c r="Y141" s="5"/>
    </row>
    <row r="142" spans="1:25" x14ac:dyDescent="0.2">
      <c r="A142" s="14">
        <f t="shared" si="2"/>
        <v>-28.888475858951814</v>
      </c>
      <c r="B142" s="14">
        <f t="shared" si="3"/>
        <v>0</v>
      </c>
      <c r="C142" s="487">
        <f>'Oute Tank Shell'!C63</f>
        <v>62603.189999999988</v>
      </c>
      <c r="D142" s="219">
        <f>D141-'Main Dimensions Calcs'!I29</f>
        <v>-2.9567068437263515</v>
      </c>
      <c r="E142" s="219">
        <f>'Main Dimensions Calcs'!H30</f>
        <v>0</v>
      </c>
      <c r="F142" s="14" t="e">
        <f t="shared" si="4"/>
        <v>#DIV/0!</v>
      </c>
      <c r="G142" s="5" t="e">
        <f>'Allowable Stresses'!$G$31:$H$31*1.33/F142</f>
        <v>#DIV/0!</v>
      </c>
      <c r="H142" s="5"/>
      <c r="I142" s="402">
        <f t="shared" si="5"/>
        <v>-1.1373414772161059</v>
      </c>
      <c r="J142" s="402">
        <f t="shared" si="6"/>
        <v>0</v>
      </c>
      <c r="K142" s="721">
        <f>'Oute Tank Shell'!K63</f>
        <v>62603.189999999988</v>
      </c>
      <c r="L142" s="612">
        <f t="shared" si="7"/>
        <v>-0.11640578124906896</v>
      </c>
      <c r="M142" s="612">
        <f t="shared" si="8"/>
        <v>0</v>
      </c>
      <c r="N142" s="402" t="e">
        <f t="shared" si="9"/>
        <v>#DIV/0!</v>
      </c>
      <c r="O142" s="478" t="e">
        <f t="shared" si="10"/>
        <v>#DIV/0!</v>
      </c>
      <c r="P142" s="5" t="e">
        <f t="shared" si="11"/>
        <v>#DIV/0!</v>
      </c>
      <c r="Q142" s="5"/>
      <c r="R142" s="5"/>
      <c r="S142" s="5"/>
      <c r="T142" s="5"/>
      <c r="U142" s="5"/>
      <c r="V142" s="5"/>
      <c r="W142" s="5"/>
      <c r="X142" s="5"/>
      <c r="Y142" s="5"/>
    </row>
    <row r="143" spans="1:25" x14ac:dyDescent="0.2">
      <c r="A143" s="14">
        <f t="shared" si="2"/>
        <v>-28.888475858951814</v>
      </c>
      <c r="B143" s="14">
        <f t="shared" si="3"/>
        <v>0</v>
      </c>
      <c r="C143" s="487">
        <f>'Oute Tank Shell'!C64</f>
        <v>62603.189999999988</v>
      </c>
      <c r="D143" s="219">
        <f>D142-'Main Dimensions Calcs'!I30</f>
        <v>-2.9567068437263515</v>
      </c>
      <c r="E143" s="219">
        <f>'Main Dimensions Calcs'!H31</f>
        <v>0</v>
      </c>
      <c r="F143" s="14" t="e">
        <f t="shared" si="4"/>
        <v>#DIV/0!</v>
      </c>
      <c r="G143" s="5" t="e">
        <f>'Allowable Stresses'!$G$31:$H$31*1.33/F143</f>
        <v>#DIV/0!</v>
      </c>
      <c r="H143" s="5"/>
      <c r="I143" s="402">
        <f t="shared" si="5"/>
        <v>-1.1373414772161059</v>
      </c>
      <c r="J143" s="402">
        <f t="shared" si="6"/>
        <v>0</v>
      </c>
      <c r="K143" s="721">
        <f>'Oute Tank Shell'!K64</f>
        <v>62603.189999999988</v>
      </c>
      <c r="L143" s="612">
        <f t="shared" si="7"/>
        <v>-0.11640578124906896</v>
      </c>
      <c r="M143" s="612">
        <f t="shared" si="8"/>
        <v>0</v>
      </c>
      <c r="N143" s="402" t="e">
        <f t="shared" si="9"/>
        <v>#DIV/0!</v>
      </c>
      <c r="O143" s="478" t="e">
        <f t="shared" si="10"/>
        <v>#DIV/0!</v>
      </c>
      <c r="P143" s="5" t="e">
        <f t="shared" si="11"/>
        <v>#DIV/0!</v>
      </c>
      <c r="Q143" s="5"/>
      <c r="R143" s="5"/>
      <c r="S143" s="5"/>
      <c r="T143" s="5"/>
      <c r="U143" s="5"/>
      <c r="V143" s="5"/>
      <c r="W143" s="5"/>
      <c r="X143" s="5"/>
      <c r="Y143" s="5"/>
    </row>
    <row r="144" spans="1:25" x14ac:dyDescent="0.2">
      <c r="A144" s="14">
        <f t="shared" si="2"/>
        <v>-28.888475858951814</v>
      </c>
      <c r="B144" s="14">
        <f t="shared" si="3"/>
        <v>0</v>
      </c>
      <c r="C144" s="487">
        <f>'Oute Tank Shell'!C65</f>
        <v>62603.189999999988</v>
      </c>
      <c r="D144" s="219">
        <f>D143-'Main Dimensions Calcs'!I31</f>
        <v>-2.9567068437263515</v>
      </c>
      <c r="E144" s="219">
        <f>'Main Dimensions Calcs'!H32</f>
        <v>0</v>
      </c>
      <c r="F144" s="14" t="e">
        <f t="shared" si="4"/>
        <v>#DIV/0!</v>
      </c>
      <c r="G144" s="5" t="e">
        <f>'Allowable Stresses'!$G$31:$H$31*1.33/F144</f>
        <v>#DIV/0!</v>
      </c>
      <c r="H144" s="5"/>
      <c r="I144" s="402">
        <f t="shared" si="5"/>
        <v>-1.1373414772161059</v>
      </c>
      <c r="J144" s="402">
        <f t="shared" si="6"/>
        <v>0</v>
      </c>
      <c r="K144" s="721">
        <f>'Oute Tank Shell'!K65</f>
        <v>62603.189999999988</v>
      </c>
      <c r="L144" s="612">
        <f t="shared" si="7"/>
        <v>-0.11640578124906896</v>
      </c>
      <c r="M144" s="612">
        <f t="shared" si="8"/>
        <v>0</v>
      </c>
      <c r="N144" s="402" t="e">
        <f t="shared" si="9"/>
        <v>#DIV/0!</v>
      </c>
      <c r="O144" s="478" t="e">
        <f t="shared" si="10"/>
        <v>#DIV/0!</v>
      </c>
      <c r="P144" s="5" t="e">
        <f t="shared" si="11"/>
        <v>#DIV/0!</v>
      </c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0.25" customHeight="1" x14ac:dyDescent="0.3">
      <c r="A145" s="14">
        <f t="shared" si="2"/>
        <v>-28.888475858951814</v>
      </c>
      <c r="B145" s="14">
        <f t="shared" si="3"/>
        <v>0</v>
      </c>
      <c r="C145" s="487">
        <f>'Oute Tank Shell'!C66</f>
        <v>62603.189999999988</v>
      </c>
      <c r="D145" s="219">
        <f>D144-'Main Dimensions Calcs'!I32</f>
        <v>-2.9567068437263515</v>
      </c>
      <c r="E145" s="219">
        <f>'Main Dimensions Calcs'!H33</f>
        <v>0</v>
      </c>
      <c r="F145" s="14" t="e">
        <f t="shared" si="4"/>
        <v>#DIV/0!</v>
      </c>
      <c r="G145" s="5" t="e">
        <f>'Allowable Stresses'!$G$31:$H$31*1.33/F145</f>
        <v>#DIV/0!</v>
      </c>
      <c r="H145" s="5"/>
      <c r="I145" s="402">
        <f t="shared" si="5"/>
        <v>-1.1373414772161059</v>
      </c>
      <c r="J145" s="402">
        <f t="shared" si="6"/>
        <v>0</v>
      </c>
      <c r="K145" s="721">
        <f>'Oute Tank Shell'!K66</f>
        <v>62603.189999999988</v>
      </c>
      <c r="L145" s="612">
        <f t="shared" si="7"/>
        <v>-0.11640578124906896</v>
      </c>
      <c r="M145" s="612">
        <f t="shared" si="8"/>
        <v>0</v>
      </c>
      <c r="N145" s="402" t="e">
        <f t="shared" si="9"/>
        <v>#DIV/0!</v>
      </c>
      <c r="O145" s="478" t="e">
        <f t="shared" si="10"/>
        <v>#DIV/0!</v>
      </c>
      <c r="P145" s="5" t="e">
        <f t="shared" si="11"/>
        <v>#DIV/0!</v>
      </c>
      <c r="Q145" s="63" t="s">
        <v>2231</v>
      </c>
      <c r="R145" s="5"/>
      <c r="S145" s="5"/>
      <c r="T145" s="5"/>
      <c r="U145" s="5"/>
      <c r="V145" s="5"/>
      <c r="W145" s="5"/>
      <c r="X145" s="5"/>
      <c r="Y145" s="5"/>
    </row>
    <row r="146" spans="1:25" x14ac:dyDescent="0.2">
      <c r="A146" s="14">
        <f t="shared" si="2"/>
        <v>-28.888475858951814</v>
      </c>
      <c r="B146" s="14">
        <f t="shared" si="3"/>
        <v>0</v>
      </c>
      <c r="C146" s="487">
        <f>'Oute Tank Shell'!C67</f>
        <v>62603.189999999988</v>
      </c>
      <c r="D146" s="219">
        <f>D145-'Main Dimensions Calcs'!I33</f>
        <v>-2.9567068437263515</v>
      </c>
      <c r="E146" s="219">
        <f>'Main Dimensions Calcs'!H34</f>
        <v>0</v>
      </c>
      <c r="F146" s="14" t="e">
        <f t="shared" si="4"/>
        <v>#DIV/0!</v>
      </c>
      <c r="G146" s="5" t="e">
        <f>'Allowable Stresses'!$G$31:$H$31*1.33/F146</f>
        <v>#DIV/0!</v>
      </c>
      <c r="H146" s="5"/>
      <c r="I146" s="402">
        <f t="shared" si="5"/>
        <v>-1.1373414772161059</v>
      </c>
      <c r="J146" s="402">
        <f t="shared" si="6"/>
        <v>0</v>
      </c>
      <c r="K146" s="721">
        <f>'Oute Tank Shell'!K67</f>
        <v>62603.189999999988</v>
      </c>
      <c r="L146" s="612">
        <f t="shared" si="7"/>
        <v>-0.11640578124906896</v>
      </c>
      <c r="M146" s="612">
        <f t="shared" si="8"/>
        <v>0</v>
      </c>
      <c r="N146" s="402" t="e">
        <f t="shared" si="9"/>
        <v>#DIV/0!</v>
      </c>
      <c r="O146" s="478" t="e">
        <f t="shared" si="10"/>
        <v>#DIV/0!</v>
      </c>
      <c r="P146" s="5" t="e">
        <f t="shared" si="11"/>
        <v>#DIV/0!</v>
      </c>
      <c r="Q146" s="5"/>
      <c r="R146" s="5"/>
      <c r="S146" s="5"/>
      <c r="T146" s="5"/>
      <c r="U146" s="5"/>
      <c r="V146" s="5"/>
      <c r="W146" s="5"/>
      <c r="X146" s="5"/>
      <c r="Y146" s="5"/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 t="s">
        <v>2134</v>
      </c>
      <c r="R147" s="5">
        <f>0.5*B36*B57</f>
        <v>1.2192206633594809</v>
      </c>
      <c r="S147" s="5" t="s">
        <v>2232</v>
      </c>
      <c r="T147" s="5"/>
      <c r="U147" s="5"/>
      <c r="V147" s="5"/>
      <c r="W147" s="5"/>
      <c r="X147" s="5"/>
      <c r="Y147" s="5"/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 t="s">
        <v>2137</v>
      </c>
      <c r="R148" s="5">
        <f>R147*0.7</f>
        <v>0.85345446435163652</v>
      </c>
      <c r="S148" s="5" t="s">
        <v>2233</v>
      </c>
      <c r="T148" s="5"/>
      <c r="U148" s="5"/>
      <c r="V148" s="5"/>
      <c r="W148" s="5"/>
      <c r="X148" s="5"/>
      <c r="Y148" s="5"/>
    </row>
  </sheetData>
  <mergeCells count="172">
    <mergeCell ref="I127:K127"/>
    <mergeCell ref="M127:N127"/>
    <mergeCell ref="I129:P131"/>
    <mergeCell ref="L124:P124"/>
    <mergeCell ref="L125:P125"/>
    <mergeCell ref="I126:K126"/>
    <mergeCell ref="M126:N126"/>
    <mergeCell ref="O126:P126"/>
    <mergeCell ref="K99:P99"/>
    <mergeCell ref="K103:P103"/>
    <mergeCell ref="K104:P105"/>
    <mergeCell ref="I113:P115"/>
    <mergeCell ref="L123:P123"/>
    <mergeCell ref="K93:P93"/>
    <mergeCell ref="K94:P94"/>
    <mergeCell ref="K95:P95"/>
    <mergeCell ref="K96:P96"/>
    <mergeCell ref="K98:P98"/>
    <mergeCell ref="I86:K86"/>
    <mergeCell ref="M86:N86"/>
    <mergeCell ref="O86:P86"/>
    <mergeCell ref="I87:K87"/>
    <mergeCell ref="M87:N87"/>
    <mergeCell ref="K74:P75"/>
    <mergeCell ref="K76:P76"/>
    <mergeCell ref="L83:P83"/>
    <mergeCell ref="L84:P84"/>
    <mergeCell ref="L85:P85"/>
    <mergeCell ref="K67:P67"/>
    <mergeCell ref="K68:P69"/>
    <mergeCell ref="K70:P70"/>
    <mergeCell ref="K71:P71"/>
    <mergeCell ref="K72:P73"/>
    <mergeCell ref="K56:P56"/>
    <mergeCell ref="K57:P57"/>
    <mergeCell ref="K58:P58"/>
    <mergeCell ref="K59:P59"/>
    <mergeCell ref="K60:P60"/>
    <mergeCell ref="M46:N46"/>
    <mergeCell ref="K48:P48"/>
    <mergeCell ref="K49:P49"/>
    <mergeCell ref="I53:P53"/>
    <mergeCell ref="K55:P55"/>
    <mergeCell ref="L43:P43"/>
    <mergeCell ref="L44:P44"/>
    <mergeCell ref="I45:K45"/>
    <mergeCell ref="M45:N45"/>
    <mergeCell ref="O45:P45"/>
    <mergeCell ref="K36:P36"/>
    <mergeCell ref="K37:P37"/>
    <mergeCell ref="K38:P38"/>
    <mergeCell ref="K39:P39"/>
    <mergeCell ref="L42:P42"/>
    <mergeCell ref="K31:P31"/>
    <mergeCell ref="K32:P32"/>
    <mergeCell ref="K33:P33"/>
    <mergeCell ref="K34:P34"/>
    <mergeCell ref="K35:P35"/>
    <mergeCell ref="K26:P26"/>
    <mergeCell ref="K27:P27"/>
    <mergeCell ref="K28:P28"/>
    <mergeCell ref="K29:P29"/>
    <mergeCell ref="K30:P30"/>
    <mergeCell ref="K17:P17"/>
    <mergeCell ref="K18:P18"/>
    <mergeCell ref="K19:P19"/>
    <mergeCell ref="K24:P24"/>
    <mergeCell ref="K25:P25"/>
    <mergeCell ref="K12:P12"/>
    <mergeCell ref="K13:P13"/>
    <mergeCell ref="K14:P14"/>
    <mergeCell ref="K15:P15"/>
    <mergeCell ref="K16:P16"/>
    <mergeCell ref="I5:K5"/>
    <mergeCell ref="M5:N5"/>
    <mergeCell ref="K9:P9"/>
    <mergeCell ref="K10:P10"/>
    <mergeCell ref="K11:P11"/>
    <mergeCell ref="L1:P1"/>
    <mergeCell ref="L2:P2"/>
    <mergeCell ref="L3:P3"/>
    <mergeCell ref="I4:K4"/>
    <mergeCell ref="M4:N4"/>
    <mergeCell ref="O4:P4"/>
    <mergeCell ref="T107:Y107"/>
    <mergeCell ref="D124:H124"/>
    <mergeCell ref="G126:H126"/>
    <mergeCell ref="E46:F46"/>
    <mergeCell ref="A53:H53"/>
    <mergeCell ref="A46:C46"/>
    <mergeCell ref="C49:H49"/>
    <mergeCell ref="C67:H67"/>
    <mergeCell ref="C55:H55"/>
    <mergeCell ref="C57:H57"/>
    <mergeCell ref="C58:H58"/>
    <mergeCell ref="C48:H48"/>
    <mergeCell ref="C76:H76"/>
    <mergeCell ref="S50:X50"/>
    <mergeCell ref="E126:F126"/>
    <mergeCell ref="I46:K46"/>
    <mergeCell ref="C59:H59"/>
    <mergeCell ref="C70:H70"/>
    <mergeCell ref="C74:H75"/>
    <mergeCell ref="D85:H85"/>
    <mergeCell ref="C68:H69"/>
    <mergeCell ref="C72:H73"/>
    <mergeCell ref="D84:H84"/>
    <mergeCell ref="D83:H83"/>
    <mergeCell ref="A129:H131"/>
    <mergeCell ref="C103:H103"/>
    <mergeCell ref="A87:C87"/>
    <mergeCell ref="A86:C86"/>
    <mergeCell ref="C93:H93"/>
    <mergeCell ref="D125:H125"/>
    <mergeCell ref="A113:H115"/>
    <mergeCell ref="A126:C126"/>
    <mergeCell ref="D123:H123"/>
    <mergeCell ref="C95:H95"/>
    <mergeCell ref="C98:H98"/>
    <mergeCell ref="C96:H96"/>
    <mergeCell ref="G86:H86"/>
    <mergeCell ref="C94:H94"/>
    <mergeCell ref="C99:H99"/>
    <mergeCell ref="A127:C127"/>
    <mergeCell ref="E127:F127"/>
    <mergeCell ref="E87:F87"/>
    <mergeCell ref="E86:F86"/>
    <mergeCell ref="C104:H105"/>
    <mergeCell ref="C37:H37"/>
    <mergeCell ref="C27:H27"/>
    <mergeCell ref="C38:H38"/>
    <mergeCell ref="C30:H30"/>
    <mergeCell ref="E5:F5"/>
    <mergeCell ref="E45:F45"/>
    <mergeCell ref="C11:H11"/>
    <mergeCell ref="C25:H25"/>
    <mergeCell ref="C12:H12"/>
    <mergeCell ref="C16:H16"/>
    <mergeCell ref="C14:H14"/>
    <mergeCell ref="C15:H15"/>
    <mergeCell ref="C19:H19"/>
    <mergeCell ref="C17:H17"/>
    <mergeCell ref="C18:H18"/>
    <mergeCell ref="C13:H13"/>
    <mergeCell ref="C24:H24"/>
    <mergeCell ref="C26:H26"/>
    <mergeCell ref="C29:H29"/>
    <mergeCell ref="C34:H34"/>
    <mergeCell ref="D1:H1"/>
    <mergeCell ref="D2:H2"/>
    <mergeCell ref="D3:H3"/>
    <mergeCell ref="G4:H4"/>
    <mergeCell ref="E4:F4"/>
    <mergeCell ref="A4:C4"/>
    <mergeCell ref="C9:H9"/>
    <mergeCell ref="C71:H71"/>
    <mergeCell ref="C60:H60"/>
    <mergeCell ref="A45:C45"/>
    <mergeCell ref="D43:H43"/>
    <mergeCell ref="C31:H31"/>
    <mergeCell ref="C36:H36"/>
    <mergeCell ref="C10:H10"/>
    <mergeCell ref="A5:C5"/>
    <mergeCell ref="C56:H56"/>
    <mergeCell ref="C28:H28"/>
    <mergeCell ref="G45:H45"/>
    <mergeCell ref="C32:H32"/>
    <mergeCell ref="D42:H42"/>
    <mergeCell ref="C33:H33"/>
    <mergeCell ref="C35:H35"/>
    <mergeCell ref="D44:H44"/>
    <mergeCell ref="C39:H39"/>
  </mergeCells>
  <pageMargins left="0.74803149606299213" right="0.74803149606299213" top="0.98425196850393704" bottom="0.98425196850393704" header="0" footer="0"/>
  <pageSetup paperSize="9" scale="89" fitToHeight="0" orientation="portrait"/>
  <rowBreaks count="6" manualBreakCount="6">
    <brk id="41" max="7" man="1"/>
    <brk id="41" min="8" max="15" man="1"/>
    <brk id="82" max="7" man="1"/>
    <brk id="82" min="8" max="15" man="1"/>
    <brk id="122" max="7" man="1"/>
    <brk id="122" min="8" max="1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9">
    <tabColor rgb="FF00B050"/>
    <pageSetUpPr fitToPage="1"/>
  </sheetPr>
  <dimension ref="A1:AI116"/>
  <sheetViews>
    <sheetView topLeftCell="A76" workbookViewId="0">
      <selection sqref="A1:C3"/>
    </sheetView>
    <sheetView tabSelected="1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10.85546875" customWidth="1"/>
    <col min="3" max="3" width="9.140625" customWidth="1"/>
    <col min="4" max="4" width="8.140625" customWidth="1"/>
    <col min="5" max="5" width="10.42578125" customWidth="1"/>
    <col min="6" max="6" width="11.42578125" customWidth="1"/>
    <col min="7" max="7" width="9.5703125" customWidth="1"/>
    <col min="8" max="8" width="11.140625" customWidth="1"/>
    <col min="9" max="9" width="3.140625" customWidth="1"/>
    <col min="10" max="10" width="7" customWidth="1"/>
    <col min="11" max="11" width="9.85546875" customWidth="1"/>
    <col min="12" max="12" width="12" customWidth="1"/>
    <col min="14" max="14" width="11.85546875" customWidth="1"/>
    <col min="15" max="15" width="12.85546875" customWidth="1"/>
    <col min="16" max="16" width="9.42578125" customWidth="1"/>
    <col min="17" max="17" width="10.42578125" customWidth="1"/>
    <col min="18" max="18" width="11.140625" customWidth="1"/>
    <col min="20" max="20" width="10.42578125" customWidth="1"/>
    <col min="21" max="21" width="10.5703125" customWidth="1"/>
    <col min="22" max="22" width="11.5703125" customWidth="1"/>
    <col min="23" max="23" width="19.140625" customWidth="1"/>
    <col min="25" max="25" width="12.42578125" customWidth="1"/>
    <col min="26" max="26" width="3.85546875" customWidth="1"/>
    <col min="29" max="29" width="9.140625" customWidth="1"/>
    <col min="31" max="31" width="14.85546875" bestFit="1" customWidth="1"/>
  </cols>
  <sheetData>
    <row r="1" spans="1:35" ht="17.25" customHeight="1" thickTop="1" thickBot="1" x14ac:dyDescent="0.3">
      <c r="A1" s="822"/>
      <c r="B1" s="823"/>
      <c r="C1" s="824"/>
      <c r="D1" s="913" t="str">
        <f>'Front Page'!$A$13</f>
        <v>Mechanical  Calculations</v>
      </c>
      <c r="E1" s="842"/>
      <c r="F1" s="842"/>
      <c r="G1" s="842"/>
      <c r="H1" s="842"/>
      <c r="I1" s="843"/>
      <c r="J1" s="28"/>
      <c r="K1" s="4"/>
      <c r="L1" s="408"/>
      <c r="M1" s="934" t="str">
        <f>'Front Page'!$A$13</f>
        <v>Mechanical  Calculations</v>
      </c>
      <c r="N1" s="842"/>
      <c r="O1" s="842"/>
      <c r="P1" s="842"/>
      <c r="Q1" s="859"/>
      <c r="R1" s="822"/>
      <c r="S1" s="823"/>
      <c r="T1" s="824"/>
      <c r="U1" s="913" t="str">
        <f>'Front Page'!$A$13</f>
        <v>Mechanical  Calculations</v>
      </c>
      <c r="V1" s="842"/>
      <c r="W1" s="842"/>
      <c r="X1" s="842"/>
      <c r="Y1" s="842"/>
      <c r="Z1" s="843"/>
      <c r="AA1" s="28"/>
      <c r="AB1" s="4"/>
      <c r="AC1" s="408"/>
      <c r="AD1" s="934" t="str">
        <f>'Front Page'!$A$13</f>
        <v>Mechanical  Calculations</v>
      </c>
      <c r="AE1" s="842"/>
      <c r="AF1" s="842"/>
      <c r="AG1" s="842"/>
      <c r="AH1" s="859"/>
      <c r="AI1" s="5"/>
    </row>
    <row r="2" spans="1:35" ht="16.5" customHeight="1" thickBot="1" x14ac:dyDescent="0.3">
      <c r="A2" s="825"/>
      <c r="B2" s="809"/>
      <c r="C2" s="826"/>
      <c r="D2" s="839"/>
      <c r="E2" s="831"/>
      <c r="F2" s="831"/>
      <c r="G2" s="831"/>
      <c r="H2" s="831"/>
      <c r="I2" s="832"/>
      <c r="J2" s="6"/>
      <c r="K2" s="5"/>
      <c r="L2" s="14"/>
      <c r="M2" s="984"/>
      <c r="N2" s="831"/>
      <c r="O2" s="831"/>
      <c r="P2" s="831"/>
      <c r="Q2" s="854"/>
      <c r="R2" s="825"/>
      <c r="S2" s="809"/>
      <c r="T2" s="826"/>
      <c r="U2" s="839"/>
      <c r="V2" s="831"/>
      <c r="W2" s="831"/>
      <c r="X2" s="831"/>
      <c r="Y2" s="831"/>
      <c r="Z2" s="832"/>
      <c r="AA2" s="6"/>
      <c r="AB2" s="5"/>
      <c r="AC2" s="14"/>
      <c r="AD2" s="984"/>
      <c r="AE2" s="831"/>
      <c r="AF2" s="831"/>
      <c r="AG2" s="831"/>
      <c r="AH2" s="854"/>
      <c r="AI2" s="5"/>
    </row>
    <row r="3" spans="1:35" ht="16.5" customHeight="1" thickBot="1" x14ac:dyDescent="0.3">
      <c r="A3" s="827"/>
      <c r="B3" s="828"/>
      <c r="C3" s="829"/>
      <c r="D3" s="839" t="s">
        <v>2234</v>
      </c>
      <c r="E3" s="831"/>
      <c r="F3" s="831"/>
      <c r="G3" s="831"/>
      <c r="H3" s="831"/>
      <c r="I3" s="832"/>
      <c r="J3" s="8"/>
      <c r="K3" s="9"/>
      <c r="L3" s="409"/>
      <c r="M3" s="985" t="s">
        <v>2234</v>
      </c>
      <c r="N3" s="834"/>
      <c r="O3" s="834"/>
      <c r="P3" s="834"/>
      <c r="Q3" s="986"/>
      <c r="R3" s="827"/>
      <c r="S3" s="828"/>
      <c r="T3" s="829"/>
      <c r="U3" s="839" t="s">
        <v>2234</v>
      </c>
      <c r="V3" s="831"/>
      <c r="W3" s="831"/>
      <c r="X3" s="831"/>
      <c r="Y3" s="831"/>
      <c r="Z3" s="832"/>
      <c r="AA3" s="8"/>
      <c r="AB3" s="9"/>
      <c r="AC3" s="409"/>
      <c r="AD3" s="985" t="s">
        <v>2234</v>
      </c>
      <c r="AE3" s="834"/>
      <c r="AF3" s="834"/>
      <c r="AG3" s="834"/>
      <c r="AH3" s="986"/>
      <c r="AI3" s="5"/>
    </row>
    <row r="4" spans="1:35" ht="16.5" customHeight="1" thickTop="1" thickBot="1" x14ac:dyDescent="0.3">
      <c r="A4" s="830"/>
      <c r="B4" s="831"/>
      <c r="C4" s="832"/>
      <c r="D4" s="915" t="str">
        <f>'Front Page'!$D$4</f>
        <v>Doc Nº</v>
      </c>
      <c r="E4" s="832"/>
      <c r="F4" s="13"/>
      <c r="G4" s="846"/>
      <c r="H4" s="831"/>
      <c r="I4" s="832"/>
      <c r="J4" s="873"/>
      <c r="K4" s="848"/>
      <c r="L4" s="865"/>
      <c r="M4" s="385" t="str">
        <f>'Front Page'!$D$4</f>
        <v>Doc Nº</v>
      </c>
      <c r="N4" s="980"/>
      <c r="O4" s="843"/>
      <c r="P4" s="980"/>
      <c r="Q4" s="843"/>
      <c r="R4" s="830"/>
      <c r="S4" s="831"/>
      <c r="T4" s="832"/>
      <c r="U4" s="915" t="str">
        <f>'Front Page'!$D$4</f>
        <v>Doc Nº</v>
      </c>
      <c r="V4" s="832"/>
      <c r="W4" s="13"/>
      <c r="X4" s="846"/>
      <c r="Y4" s="831"/>
      <c r="Z4" s="832"/>
      <c r="AA4" s="873"/>
      <c r="AB4" s="848"/>
      <c r="AC4" s="865"/>
      <c r="AD4" s="385" t="str">
        <f>'Front Page'!$D$4</f>
        <v>Doc Nº</v>
      </c>
      <c r="AE4" s="980"/>
      <c r="AF4" s="843"/>
      <c r="AG4" s="980"/>
      <c r="AH4" s="843"/>
      <c r="AI4" s="5"/>
    </row>
    <row r="5" spans="1:35" ht="15.75" customHeight="1" thickBot="1" x14ac:dyDescent="0.3">
      <c r="A5" s="987"/>
      <c r="B5" s="834"/>
      <c r="C5" s="835"/>
      <c r="D5" s="914" t="str">
        <f>'Front Page'!$D$5</f>
        <v>Project</v>
      </c>
      <c r="E5" s="835"/>
      <c r="F5" s="62"/>
      <c r="G5" s="131" t="s">
        <v>5</v>
      </c>
      <c r="H5" s="899"/>
      <c r="I5" s="835"/>
      <c r="J5" s="860"/>
      <c r="K5" s="851"/>
      <c r="L5" s="861"/>
      <c r="M5" s="386" t="str">
        <f>'Front Page'!$D$5</f>
        <v>Project</v>
      </c>
      <c r="N5" s="899"/>
      <c r="O5" s="835"/>
      <c r="P5" s="131" t="s">
        <v>5</v>
      </c>
      <c r="Q5" s="132"/>
      <c r="R5" s="987"/>
      <c r="S5" s="834"/>
      <c r="T5" s="835"/>
      <c r="U5" s="914" t="str">
        <f>'Front Page'!$D$5</f>
        <v>Project</v>
      </c>
      <c r="V5" s="835"/>
      <c r="W5" s="62"/>
      <c r="X5" s="131" t="s">
        <v>5</v>
      </c>
      <c r="Y5" s="836"/>
      <c r="Z5" s="835"/>
      <c r="AA5" s="860"/>
      <c r="AB5" s="851"/>
      <c r="AC5" s="861"/>
      <c r="AD5" s="386" t="str">
        <f>'Front Page'!$D$5</f>
        <v>Project</v>
      </c>
      <c r="AE5" s="899"/>
      <c r="AF5" s="835"/>
      <c r="AG5" s="131" t="s">
        <v>5</v>
      </c>
      <c r="AH5" s="427"/>
      <c r="AI5" s="5"/>
    </row>
    <row r="6" spans="1:35" ht="15.75" customHeight="1" thickTop="1" x14ac:dyDescent="0.25">
      <c r="A6" s="14"/>
      <c r="B6" s="14"/>
      <c r="C6" s="14"/>
      <c r="D6" s="628"/>
      <c r="E6" s="628"/>
      <c r="F6" s="14"/>
      <c r="G6" s="118"/>
      <c r="H6" s="14"/>
      <c r="I6" s="14"/>
      <c r="J6" s="14"/>
      <c r="K6" s="14"/>
      <c r="L6" s="14"/>
      <c r="M6" s="105"/>
      <c r="N6" s="14"/>
      <c r="O6" s="14"/>
      <c r="P6" s="118"/>
      <c r="Q6" s="14"/>
      <c r="R6" s="14"/>
      <c r="S6" s="14"/>
      <c r="T6" s="14"/>
      <c r="U6" s="628"/>
      <c r="V6" s="628"/>
      <c r="W6" s="14"/>
      <c r="X6" s="118"/>
      <c r="Y6" s="14"/>
      <c r="Z6" s="14"/>
      <c r="AA6" s="14"/>
      <c r="AB6" s="14"/>
      <c r="AC6" s="14"/>
      <c r="AD6" s="105"/>
      <c r="AE6" s="14"/>
      <c r="AF6" s="14"/>
      <c r="AG6" s="118"/>
      <c r="AH6" s="14"/>
      <c r="AI6" s="5"/>
    </row>
    <row r="7" spans="1:35" ht="18" customHeight="1" x14ac:dyDescent="0.25">
      <c r="A7" s="134" t="s">
        <v>2235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34" t="s">
        <v>2236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925" t="s">
        <v>2237</v>
      </c>
      <c r="AC8" s="809"/>
      <c r="AD8" s="5"/>
      <c r="AE8" s="5"/>
      <c r="AF8" s="5"/>
      <c r="AG8" s="5"/>
      <c r="AH8" s="5"/>
      <c r="AI8" s="5"/>
    </row>
    <row r="9" spans="1:35" x14ac:dyDescent="0.2">
      <c r="A9" s="5" t="s">
        <v>2238</v>
      </c>
      <c r="B9" s="731">
        <f>'Design Conditions'!G13</f>
        <v>0.15</v>
      </c>
      <c r="C9" s="248" t="s">
        <v>2239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2238</v>
      </c>
      <c r="S9" s="731">
        <f>B9*14.5</f>
        <v>2.1749999999999998</v>
      </c>
      <c r="T9" s="69" t="s">
        <v>2240</v>
      </c>
      <c r="U9" s="5"/>
      <c r="V9" s="5"/>
      <c r="W9" s="5"/>
      <c r="X9" s="5"/>
      <c r="Y9" s="5"/>
      <c r="Z9" s="5"/>
      <c r="AA9" s="5"/>
      <c r="AB9" s="809"/>
      <c r="AC9" s="809"/>
      <c r="AD9" s="226" t="s">
        <v>2103</v>
      </c>
      <c r="AE9" s="265">
        <f>+'Earthquake API 650 Outer Tank'!S107</f>
        <v>29193.785015263064</v>
      </c>
      <c r="AF9" s="732" t="s">
        <v>2241</v>
      </c>
      <c r="AG9" s="1077" t="s">
        <v>2242</v>
      </c>
      <c r="AH9" s="809"/>
      <c r="AI9" s="266" t="s">
        <v>2243</v>
      </c>
    </row>
    <row r="10" spans="1:35" ht="12.75" customHeight="1" x14ac:dyDescent="0.2">
      <c r="A10" s="5" t="s">
        <v>2244</v>
      </c>
      <c r="B10" s="731">
        <f>'Design Conditions'!G25</f>
        <v>0.1875</v>
      </c>
      <c r="C10" s="248" t="s">
        <v>2245</v>
      </c>
      <c r="D10" s="5"/>
      <c r="E10" s="5"/>
      <c r="F10" s="5"/>
      <c r="G10" s="5"/>
      <c r="H10" s="5"/>
      <c r="I10" s="5"/>
      <c r="J10" s="5"/>
      <c r="K10" s="226"/>
      <c r="L10" s="417"/>
      <c r="M10" s="5"/>
      <c r="N10" s="5"/>
      <c r="O10" s="5"/>
      <c r="P10" s="5"/>
      <c r="Q10" s="5"/>
      <c r="R10" s="5" t="s">
        <v>2244</v>
      </c>
      <c r="S10" s="731">
        <f>B10*14.5</f>
        <v>2.71875</v>
      </c>
      <c r="T10" s="69" t="s">
        <v>2246</v>
      </c>
      <c r="U10" s="5"/>
      <c r="V10" s="5"/>
      <c r="W10" s="5"/>
      <c r="X10" s="5"/>
      <c r="Y10" s="5"/>
      <c r="Z10" s="5"/>
      <c r="AA10" s="5"/>
      <c r="AB10" s="64" t="s">
        <v>2247</v>
      </c>
      <c r="AC10" s="5"/>
      <c r="AD10" s="226" t="s">
        <v>2103</v>
      </c>
      <c r="AE10" s="265">
        <f>+AE9*0.2248/3.28</f>
        <v>2000.8423388509564</v>
      </c>
      <c r="AF10" s="732" t="s">
        <v>2248</v>
      </c>
      <c r="AG10" s="809"/>
      <c r="AH10" s="809"/>
      <c r="AI10" s="5"/>
    </row>
    <row r="11" spans="1:35" ht="12.75" customHeight="1" x14ac:dyDescent="0.2">
      <c r="A11" s="5" t="s">
        <v>1427</v>
      </c>
      <c r="B11" s="733">
        <f>PI()*('Main Dimensions Calcs'!D53/1000)^2/4</f>
        <v>333.29156461934122</v>
      </c>
      <c r="C11" s="5" t="s">
        <v>2249</v>
      </c>
      <c r="D11" s="5"/>
      <c r="E11" s="5"/>
      <c r="F11" s="5"/>
      <c r="G11" s="5"/>
      <c r="H11" s="265">
        <f>SUM(B13:B17,B19:B23)</f>
        <v>527670.61856353609</v>
      </c>
      <c r="I11" s="5"/>
      <c r="J11" s="5"/>
      <c r="K11" s="226"/>
      <c r="L11" s="260"/>
      <c r="M11" s="5"/>
      <c r="N11" s="5"/>
      <c r="O11" s="5"/>
      <c r="P11" s="5"/>
      <c r="Q11" s="5"/>
      <c r="R11" s="5" t="s">
        <v>1427</v>
      </c>
      <c r="S11" s="733">
        <f>B11*10.764</f>
        <v>3587.5504015625888</v>
      </c>
      <c r="T11" s="64" t="s">
        <v>2250</v>
      </c>
      <c r="U11" s="5"/>
      <c r="V11" s="5"/>
      <c r="W11" s="5"/>
      <c r="X11" s="5"/>
      <c r="Y11" s="265"/>
      <c r="Z11" s="5"/>
      <c r="AA11" s="5"/>
      <c r="AB11" s="64" t="s">
        <v>2251</v>
      </c>
      <c r="AC11" s="5"/>
      <c r="AD11" s="5"/>
      <c r="AE11" s="5"/>
      <c r="AF11" s="732"/>
      <c r="AG11" s="732"/>
      <c r="AH11" s="732"/>
      <c r="AI11" s="5"/>
    </row>
    <row r="12" spans="1:35" x14ac:dyDescent="0.2">
      <c r="A12" s="5" t="s">
        <v>2252</v>
      </c>
      <c r="B12" s="734">
        <f>'Weight Calculations'!H70</f>
        <v>37848.444722161934</v>
      </c>
      <c r="C12" s="248" t="s">
        <v>2253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65"/>
      <c r="P12" s="5"/>
      <c r="Q12" s="5"/>
      <c r="R12" s="5" t="s">
        <v>2252</v>
      </c>
      <c r="S12" s="734">
        <f t="shared" ref="S12:S18" si="0">B12*2.205</f>
        <v>83455.820612367068</v>
      </c>
      <c r="T12" s="69" t="s">
        <v>2254</v>
      </c>
      <c r="U12" s="5"/>
      <c r="V12" s="5"/>
      <c r="W12" s="5"/>
      <c r="X12" s="5"/>
      <c r="Y12" s="5"/>
      <c r="Z12" s="5"/>
      <c r="AA12" s="5"/>
      <c r="AB12" s="64" t="s">
        <v>2255</v>
      </c>
      <c r="AC12" s="5"/>
      <c r="AD12" s="5"/>
      <c r="AE12" s="5"/>
      <c r="AF12" s="5"/>
      <c r="AG12" s="5"/>
      <c r="AH12" s="5"/>
      <c r="AI12" s="5"/>
    </row>
    <row r="13" spans="1:35" x14ac:dyDescent="0.2">
      <c r="A13" s="5" t="s">
        <v>2256</v>
      </c>
      <c r="B13" s="735">
        <f>'Weight Calculations'!H71</f>
        <v>37483.613497718368</v>
      </c>
      <c r="C13" s="248" t="s">
        <v>2257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18" t="s">
        <v>2258</v>
      </c>
      <c r="P13" s="5"/>
      <c r="Q13" s="5"/>
      <c r="R13" s="5" t="s">
        <v>2256</v>
      </c>
      <c r="S13" s="734">
        <f t="shared" si="0"/>
        <v>82651.367762469003</v>
      </c>
      <c r="T13" s="69" t="s">
        <v>2259</v>
      </c>
      <c r="U13" s="5"/>
      <c r="V13" s="5"/>
      <c r="W13" s="5"/>
      <c r="X13" s="5"/>
      <c r="Y13" s="5"/>
      <c r="Z13" s="5"/>
      <c r="AA13" s="5"/>
      <c r="AB13" s="64" t="s">
        <v>2260</v>
      </c>
      <c r="AC13" s="5"/>
      <c r="AD13" s="5"/>
      <c r="AE13" s="5"/>
      <c r="AF13" s="5"/>
      <c r="AG13" s="5"/>
      <c r="AH13" s="5"/>
      <c r="AI13" s="5"/>
    </row>
    <row r="14" spans="1:35" x14ac:dyDescent="0.2">
      <c r="A14" s="5" t="s">
        <v>2261</v>
      </c>
      <c r="B14" s="735">
        <f>'Weight Calculations'!H161</f>
        <v>35116.462008752882</v>
      </c>
      <c r="C14" s="248" t="s">
        <v>2262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18" t="s">
        <v>2263</v>
      </c>
      <c r="P14" s="5"/>
      <c r="Q14" s="5"/>
      <c r="R14" s="5" t="s">
        <v>2261</v>
      </c>
      <c r="S14" s="734">
        <f t="shared" si="0"/>
        <v>77431.798729300106</v>
      </c>
      <c r="T14" s="69" t="s">
        <v>2264</v>
      </c>
      <c r="U14" s="5"/>
      <c r="V14" s="5"/>
      <c r="W14" s="5"/>
      <c r="X14" s="5"/>
      <c r="Y14" s="5"/>
      <c r="Z14" s="5"/>
      <c r="AA14" s="5"/>
      <c r="AB14" s="64" t="s">
        <v>2265</v>
      </c>
      <c r="AC14" s="5"/>
      <c r="AD14" s="5"/>
      <c r="AE14" s="5"/>
      <c r="AF14" s="5"/>
      <c r="AG14" s="5"/>
      <c r="AH14" s="5"/>
      <c r="AI14" s="5"/>
    </row>
    <row r="15" spans="1:35" x14ac:dyDescent="0.2">
      <c r="A15" s="5" t="s">
        <v>2266</v>
      </c>
      <c r="B15" s="735">
        <f>'Weight Calculations'!H162</f>
        <v>49872.832985578149</v>
      </c>
      <c r="C15" s="248" t="s">
        <v>2267</v>
      </c>
      <c r="D15" s="5"/>
      <c r="E15" s="5"/>
      <c r="F15" s="5"/>
      <c r="G15" s="5"/>
      <c r="H15" s="5"/>
      <c r="I15" s="5"/>
      <c r="J15" s="5"/>
      <c r="K15" s="90" t="s">
        <v>2268</v>
      </c>
      <c r="L15" s="5"/>
      <c r="M15" s="5"/>
      <c r="N15" s="5"/>
      <c r="O15" s="5"/>
      <c r="P15" s="5"/>
      <c r="Q15" s="5"/>
      <c r="R15" s="5" t="s">
        <v>2266</v>
      </c>
      <c r="S15" s="734">
        <f t="shared" si="0"/>
        <v>109969.59673319983</v>
      </c>
      <c r="T15" s="69" t="s">
        <v>2269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x14ac:dyDescent="0.2">
      <c r="A16" s="5" t="s">
        <v>2270</v>
      </c>
      <c r="B16" s="735">
        <f>'Weight Calculations'!H72</f>
        <v>14778.28306370569</v>
      </c>
      <c r="C16" s="248" t="s">
        <v>2271</v>
      </c>
      <c r="D16" s="5"/>
      <c r="E16" s="5"/>
      <c r="F16" s="5"/>
      <c r="G16" s="5"/>
      <c r="H16" s="5"/>
      <c r="I16" s="5"/>
      <c r="J16" s="736" t="s">
        <v>2272</v>
      </c>
      <c r="K16" s="5"/>
      <c r="L16" s="121" t="s">
        <v>2273</v>
      </c>
      <c r="M16" s="5"/>
      <c r="N16" s="5"/>
      <c r="O16" s="5"/>
      <c r="P16" s="5"/>
      <c r="Q16" s="5"/>
      <c r="R16" s="5" t="s">
        <v>2270</v>
      </c>
      <c r="S16" s="734">
        <f t="shared" si="0"/>
        <v>32586.114155471048</v>
      </c>
      <c r="T16" s="69" t="s">
        <v>2274</v>
      </c>
      <c r="U16" s="5"/>
      <c r="V16" s="5"/>
      <c r="W16" s="5"/>
      <c r="X16" s="5"/>
      <c r="Y16" s="5"/>
      <c r="Z16" s="5"/>
      <c r="AA16" s="5"/>
      <c r="AB16" s="925" t="s">
        <v>2275</v>
      </c>
      <c r="AC16" s="809"/>
      <c r="AD16" s="5"/>
      <c r="AE16" s="5"/>
      <c r="AF16" s="5"/>
      <c r="AG16" s="5"/>
      <c r="AH16" s="5"/>
      <c r="AI16" s="5"/>
    </row>
    <row r="17" spans="1:35" ht="15.75" customHeight="1" x14ac:dyDescent="0.2">
      <c r="A17" s="5" t="s">
        <v>2276</v>
      </c>
      <c r="B17" s="735">
        <f>'Weight Calculations'!H163</f>
        <v>19014.599011625498</v>
      </c>
      <c r="C17" s="248" t="s">
        <v>2277</v>
      </c>
      <c r="D17" s="5"/>
      <c r="E17" s="5"/>
      <c r="F17" s="5"/>
      <c r="G17" s="5"/>
      <c r="H17" s="5"/>
      <c r="I17" s="5"/>
      <c r="J17" s="5"/>
      <c r="K17" s="5"/>
      <c r="L17" s="121" t="s">
        <v>2278</v>
      </c>
      <c r="M17" s="5"/>
      <c r="N17" s="5"/>
      <c r="O17" s="5"/>
      <c r="P17" s="5"/>
      <c r="Q17" s="5"/>
      <c r="R17" s="5" t="s">
        <v>2276</v>
      </c>
      <c r="S17" s="734">
        <f t="shared" si="0"/>
        <v>41927.190820634227</v>
      </c>
      <c r="T17" s="69" t="s">
        <v>2279</v>
      </c>
      <c r="U17" s="5"/>
      <c r="V17" s="5"/>
      <c r="W17" s="5"/>
      <c r="X17" s="5"/>
      <c r="Y17" s="5"/>
      <c r="Z17" s="5"/>
      <c r="AA17" s="5"/>
      <c r="AB17" s="809"/>
      <c r="AC17" s="809"/>
      <c r="AD17" s="5"/>
      <c r="AE17" s="5"/>
      <c r="AF17" s="5"/>
      <c r="AG17" s="5"/>
      <c r="AH17" s="5"/>
      <c r="AI17" s="5"/>
    </row>
    <row r="18" spans="1:35" ht="12" customHeight="1" x14ac:dyDescent="0.2">
      <c r="A18" s="64" t="s">
        <v>2280</v>
      </c>
      <c r="B18" s="737">
        <f>'Earthquake API 650 Inner Tank'!B117/9.8</f>
        <v>511.44884979009697</v>
      </c>
      <c r="C18" s="1074" t="s">
        <v>2281</v>
      </c>
      <c r="D18" s="809"/>
      <c r="E18" s="809"/>
      <c r="F18" s="809"/>
      <c r="G18" s="809"/>
      <c r="H18" s="809"/>
      <c r="I18" s="809"/>
      <c r="J18" s="226"/>
      <c r="K18" s="5"/>
      <c r="L18" s="5"/>
      <c r="M18" s="5"/>
      <c r="N18" s="5"/>
      <c r="O18" s="5"/>
      <c r="P18" s="5"/>
      <c r="Q18" s="5"/>
      <c r="R18" s="5" t="s">
        <v>2280</v>
      </c>
      <c r="S18" s="734">
        <f t="shared" si="0"/>
        <v>1127.7447137871638</v>
      </c>
      <c r="T18" s="900" t="s">
        <v>2282</v>
      </c>
      <c r="U18" s="809"/>
      <c r="V18" s="809"/>
      <c r="W18" s="809"/>
      <c r="X18" s="809"/>
      <c r="Y18" s="809"/>
      <c r="Z18" s="5"/>
      <c r="AA18" s="5"/>
      <c r="AB18" s="64" t="s">
        <v>2283</v>
      </c>
      <c r="AC18" s="5"/>
      <c r="AD18" s="5"/>
      <c r="AE18" s="5"/>
      <c r="AF18" s="5"/>
      <c r="AG18" s="5"/>
      <c r="AH18" s="5"/>
      <c r="AI18" s="5"/>
    </row>
    <row r="19" spans="1:35" x14ac:dyDescent="0.2">
      <c r="A19" s="64" t="s">
        <v>2284</v>
      </c>
      <c r="B19" s="738">
        <f>('Main Dimensions Calcs'!D11*(PI()*('Main Dimensions Calcs'!D53/1000)^2/4*'Main Dimensions Calcs'!D50/1000+PI()*('Main Dimensions Calcs'!D52/1000)/6*(3*('Main Dimensions Calcs'!D50/(2*1000))^2+('Main Dimensions Calcs'!D52/1000)^2)))/1000</f>
        <v>2006.58801125234</v>
      </c>
      <c r="C19" s="900" t="s">
        <v>2285</v>
      </c>
      <c r="D19" s="809"/>
      <c r="E19" s="809"/>
      <c r="F19" s="809"/>
      <c r="G19" s="809"/>
      <c r="H19" s="809"/>
      <c r="I19" s="809"/>
      <c r="J19" s="739" t="s">
        <v>2286</v>
      </c>
      <c r="K19" s="5"/>
      <c r="L19" s="739" t="s">
        <v>2287</v>
      </c>
      <c r="M19" s="5"/>
      <c r="N19" s="736" t="s">
        <v>2288</v>
      </c>
      <c r="O19" s="5"/>
      <c r="P19" s="5"/>
      <c r="Q19" s="5"/>
      <c r="R19" s="64" t="s">
        <v>2284</v>
      </c>
      <c r="S19" s="734">
        <f>B19*2.205*1000</f>
        <v>4424526.5648114104</v>
      </c>
      <c r="T19" s="900" t="s">
        <v>2289</v>
      </c>
      <c r="U19" s="809"/>
      <c r="V19" s="809"/>
      <c r="W19" s="809"/>
      <c r="X19" s="809"/>
      <c r="Y19" s="809"/>
      <c r="Z19" s="5"/>
      <c r="AA19" s="5"/>
      <c r="AB19" s="64" t="s">
        <v>2290</v>
      </c>
      <c r="AC19" s="5"/>
      <c r="AD19" s="5"/>
      <c r="AE19" s="5"/>
      <c r="AF19" s="5"/>
      <c r="AG19" s="5"/>
      <c r="AH19" s="5"/>
      <c r="AI19" s="5"/>
    </row>
    <row r="20" spans="1:35" x14ac:dyDescent="0.2">
      <c r="A20" s="5" t="s">
        <v>2291</v>
      </c>
      <c r="B20" s="735">
        <f>'Thermal calculation 2'!K82</f>
        <v>42601.32778964415</v>
      </c>
      <c r="C20" s="1070" t="s">
        <v>2292</v>
      </c>
      <c r="D20" s="809"/>
      <c r="E20" s="809"/>
      <c r="F20" s="809"/>
      <c r="G20" s="809"/>
      <c r="H20" s="809"/>
      <c r="I20" s="809"/>
      <c r="J20" s="5"/>
      <c r="K20" s="5"/>
      <c r="L20" s="5"/>
      <c r="M20" s="5"/>
      <c r="N20" s="5"/>
      <c r="O20" s="5"/>
      <c r="P20" s="5"/>
      <c r="Q20" s="5"/>
      <c r="R20" s="5" t="s">
        <v>2291</v>
      </c>
      <c r="S20" s="734">
        <f>B20*2.205</f>
        <v>93935.92777616535</v>
      </c>
      <c r="T20" s="1076" t="s">
        <v>2293</v>
      </c>
      <c r="U20" s="809"/>
      <c r="V20" s="809"/>
      <c r="W20" s="809"/>
      <c r="X20" s="809"/>
      <c r="Y20" s="809"/>
      <c r="Z20" s="809"/>
      <c r="AA20" s="5"/>
      <c r="AB20" s="64" t="s">
        <v>2294</v>
      </c>
      <c r="AC20" s="5"/>
      <c r="AD20" s="5"/>
      <c r="AE20" s="5"/>
      <c r="AF20" s="5"/>
      <c r="AG20" s="5"/>
      <c r="AH20" s="5"/>
      <c r="AI20" s="5"/>
    </row>
    <row r="21" spans="1:35" x14ac:dyDescent="0.2">
      <c r="A21" s="5" t="s">
        <v>2295</v>
      </c>
      <c r="B21" s="735">
        <f>'Thermal calculation 2'!K79</f>
        <v>78740.357588565123</v>
      </c>
      <c r="C21" s="248" t="s">
        <v>2296</v>
      </c>
      <c r="D21" s="5"/>
      <c r="E21" s="5"/>
      <c r="F21" s="5"/>
      <c r="G21" s="5"/>
      <c r="H21" s="5"/>
      <c r="I21" s="5"/>
      <c r="J21" s="740"/>
      <c r="K21" s="740"/>
      <c r="L21" s="741"/>
      <c r="M21" s="741"/>
      <c r="N21" s="741"/>
      <c r="O21" s="741"/>
      <c r="P21" s="5"/>
      <c r="Q21" s="5"/>
      <c r="R21" s="5" t="s">
        <v>2295</v>
      </c>
      <c r="S21" s="734">
        <f>B21*2.205</f>
        <v>173622.48848278611</v>
      </c>
      <c r="T21" s="69" t="s">
        <v>2297</v>
      </c>
      <c r="U21" s="5"/>
      <c r="V21" s="5"/>
      <c r="W21" s="5"/>
      <c r="X21" s="5"/>
      <c r="Y21" s="5"/>
      <c r="Z21" s="5"/>
      <c r="AA21" s="5"/>
      <c r="AB21" s="64" t="s">
        <v>2298</v>
      </c>
      <c r="AC21" s="5"/>
      <c r="AD21" s="5"/>
      <c r="AE21" s="5"/>
      <c r="AF21" s="5"/>
      <c r="AG21" s="5"/>
      <c r="AH21" s="5"/>
      <c r="AI21" s="5"/>
    </row>
    <row r="22" spans="1:35" x14ac:dyDescent="0.2">
      <c r="A22" s="5" t="s">
        <v>1314</v>
      </c>
      <c r="B22" s="735">
        <f>'Thermal calculation 2'!K78</f>
        <v>18798.988846186563</v>
      </c>
      <c r="C22" s="5" t="s">
        <v>2299</v>
      </c>
      <c r="D22" s="5"/>
      <c r="E22" s="5"/>
      <c r="F22" s="5"/>
      <c r="G22" s="5"/>
      <c r="H22" s="5"/>
      <c r="I22" s="5"/>
      <c r="J22" s="5"/>
      <c r="K22" s="90" t="s">
        <v>2300</v>
      </c>
      <c r="L22" s="90" t="s">
        <v>2301</v>
      </c>
      <c r="M22" s="5"/>
      <c r="N22" s="5"/>
      <c r="O22" s="5"/>
      <c r="P22" s="5"/>
      <c r="Q22" s="5"/>
      <c r="R22" s="5" t="s">
        <v>1314</v>
      </c>
      <c r="S22" s="734">
        <f>B22*2.205</f>
        <v>41451.770405841373</v>
      </c>
      <c r="T22" s="64" t="s">
        <v>2302</v>
      </c>
      <c r="U22" s="5"/>
      <c r="V22" s="5"/>
      <c r="W22" s="5"/>
      <c r="X22" s="5"/>
      <c r="Y22" s="5"/>
      <c r="Z22" s="5"/>
      <c r="AA22" s="5"/>
      <c r="AB22" s="64" t="s">
        <v>2303</v>
      </c>
      <c r="AC22" s="5"/>
      <c r="AD22" s="226" t="s">
        <v>1499</v>
      </c>
      <c r="AE22" s="5">
        <f>+H38*1000*9.9</f>
        <v>6312984.3553535938</v>
      </c>
      <c r="AF22" s="100" t="s">
        <v>2304</v>
      </c>
      <c r="AG22" s="1078" t="s">
        <v>2305</v>
      </c>
      <c r="AH22" s="809"/>
      <c r="AI22" s="266" t="s">
        <v>2306</v>
      </c>
    </row>
    <row r="23" spans="1:35" x14ac:dyDescent="0.2">
      <c r="A23" s="5" t="s">
        <v>2010</v>
      </c>
      <c r="B23" s="735">
        <f>'Thermal calculation 2'!K71+'Thermal calculation 2'!K72+'Thermal calculation 2'!K74</f>
        <v>229257.56576050734</v>
      </c>
      <c r="C23" s="248" t="s">
        <v>2307</v>
      </c>
      <c r="D23" s="5"/>
      <c r="E23" s="5"/>
      <c r="F23" s="5"/>
      <c r="G23" s="5"/>
      <c r="H23" s="5"/>
      <c r="I23" s="5"/>
      <c r="J23" s="5"/>
      <c r="K23" s="742" t="s">
        <v>2308</v>
      </c>
      <c r="L23" s="5"/>
      <c r="M23" s="5"/>
      <c r="N23" s="5"/>
      <c r="O23" s="5"/>
      <c r="P23" s="5"/>
      <c r="Q23" s="5"/>
      <c r="R23" s="5" t="s">
        <v>2010</v>
      </c>
      <c r="S23" s="734">
        <f>B23*2.205</f>
        <v>505512.93250191869</v>
      </c>
      <c r="T23" s="69" t="s">
        <v>2309</v>
      </c>
      <c r="U23" s="5"/>
      <c r="V23" s="5"/>
      <c r="W23" s="5"/>
      <c r="X23" s="5"/>
      <c r="Y23" s="5"/>
      <c r="Z23" s="5"/>
      <c r="AA23" s="5"/>
      <c r="AB23" s="5"/>
      <c r="AC23" s="5"/>
      <c r="AD23" s="226" t="s">
        <v>1499</v>
      </c>
      <c r="AE23" s="5">
        <f>+AE22*0.2248</f>
        <v>1419158.8830834879</v>
      </c>
      <c r="AF23" s="100" t="s">
        <v>821</v>
      </c>
      <c r="AG23" s="809"/>
      <c r="AH23" s="809"/>
      <c r="AI23" s="5"/>
    </row>
    <row r="24" spans="1:35" x14ac:dyDescent="0.2">
      <c r="A24" s="5" t="s">
        <v>1584</v>
      </c>
      <c r="B24" s="735">
        <f>'Main Dimensions Calcs'!D51*'Main Dimensions Calcs'!D53^2*PI()/4*0.000000001</f>
        <v>1449.8183060941342</v>
      </c>
      <c r="C24" s="5" t="s">
        <v>2310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">
        <v>1584</v>
      </c>
      <c r="S24" s="735">
        <f>B24*35.315</f>
        <v>51200.333479714347</v>
      </c>
      <c r="T24" s="64" t="s">
        <v>2311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3.5" customHeight="1" x14ac:dyDescent="0.2">
      <c r="A25" s="5" t="s">
        <v>2312</v>
      </c>
      <c r="B25" s="735">
        <f>'Main Dimensions Calcs'!D11</f>
        <v>808</v>
      </c>
      <c r="C25" s="248" t="s">
        <v>2313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">
        <v>2312</v>
      </c>
      <c r="S25" s="735">
        <f>B25*0.062428</f>
        <v>50.441823999999997</v>
      </c>
      <c r="T25" s="69" t="s">
        <v>2314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x14ac:dyDescent="0.2">
      <c r="A26" s="5" t="s">
        <v>2315</v>
      </c>
      <c r="B26" s="735">
        <f>'Main Dimensions Calcs'!D19</f>
        <v>1000</v>
      </c>
      <c r="C26" s="5" t="s">
        <v>2316</v>
      </c>
      <c r="D26" s="5"/>
      <c r="E26" s="5"/>
      <c r="F26" s="5"/>
      <c r="G26" s="5"/>
      <c r="H26" s="5"/>
      <c r="I26" s="5"/>
      <c r="J26" s="117"/>
      <c r="K26" s="117"/>
      <c r="L26" s="117"/>
      <c r="M26" s="117"/>
      <c r="N26" s="117"/>
      <c r="O26" s="117"/>
      <c r="P26" s="117"/>
      <c r="Q26" s="5"/>
      <c r="R26" s="5" t="s">
        <v>2315</v>
      </c>
      <c r="S26" s="735">
        <f>B26*0.062428</f>
        <v>62.427999999999997</v>
      </c>
      <c r="T26" s="64" t="s">
        <v>2317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x14ac:dyDescent="0.2">
      <c r="A27" s="5" t="s">
        <v>2318</v>
      </c>
      <c r="B27" s="389">
        <f>+'Design Conditions'!J31*('Main Dimensions Calcs'!D32/1000)^2/4*PI()</f>
        <v>10497.584413921222</v>
      </c>
      <c r="C27" s="248" t="s">
        <v>2319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">
        <v>2318</v>
      </c>
      <c r="S27" s="734">
        <f>B27*2.205</f>
        <v>23147.173632696296</v>
      </c>
      <c r="T27" s="69" t="s">
        <v>2320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26"/>
      <c r="AD28" s="417"/>
      <c r="AE28" s="5"/>
      <c r="AF28" s="5"/>
      <c r="AG28" s="5"/>
      <c r="AH28" s="5"/>
      <c r="AI28" s="5"/>
    </row>
    <row r="29" spans="1:35" x14ac:dyDescent="0.2">
      <c r="A29" s="1071" t="s">
        <v>2321</v>
      </c>
      <c r="B29" s="809"/>
      <c r="C29" s="809"/>
      <c r="D29" s="809"/>
      <c r="E29" s="809"/>
      <c r="F29" s="809"/>
      <c r="G29" s="809"/>
      <c r="H29" s="809"/>
      <c r="I29" s="5"/>
      <c r="J29" s="5"/>
      <c r="K29" s="5"/>
      <c r="L29" s="5"/>
      <c r="M29" s="5"/>
      <c r="N29" s="5"/>
      <c r="O29" s="5"/>
      <c r="P29" s="5"/>
      <c r="Q29" s="5"/>
      <c r="R29" s="1071" t="s">
        <v>2321</v>
      </c>
      <c r="S29" s="809"/>
      <c r="T29" s="809"/>
      <c r="U29" s="809"/>
      <c r="V29" s="809"/>
      <c r="W29" s="809"/>
      <c r="X29" s="809"/>
      <c r="Y29" s="809"/>
      <c r="Z29" s="5"/>
      <c r="AA29" s="5"/>
      <c r="AB29" s="5"/>
      <c r="AC29" s="226"/>
      <c r="AD29" s="260"/>
      <c r="AE29" s="5"/>
      <c r="AF29" s="5"/>
      <c r="AG29" s="5"/>
      <c r="AH29" s="5"/>
      <c r="AI29" s="5"/>
    </row>
    <row r="30" spans="1:35" ht="12.75" customHeight="1" x14ac:dyDescent="0.2">
      <c r="A30" s="809"/>
      <c r="B30" s="809"/>
      <c r="C30" s="809"/>
      <c r="D30" s="809"/>
      <c r="E30" s="809"/>
      <c r="F30" s="809"/>
      <c r="G30" s="809"/>
      <c r="H30" s="809"/>
      <c r="I30" s="14"/>
      <c r="J30" s="5"/>
      <c r="K30" s="5"/>
      <c r="L30" s="5"/>
      <c r="M30" s="5"/>
      <c r="N30" s="5"/>
      <c r="O30" s="5"/>
      <c r="P30" s="5"/>
      <c r="Q30" s="5"/>
      <c r="R30" s="809"/>
      <c r="S30" s="809"/>
      <c r="T30" s="809"/>
      <c r="U30" s="809"/>
      <c r="V30" s="809"/>
      <c r="W30" s="809"/>
      <c r="X30" s="809"/>
      <c r="Y30" s="809"/>
      <c r="Z30" s="14"/>
      <c r="AA30" s="5"/>
      <c r="AB30" s="5"/>
      <c r="AC30" s="5"/>
      <c r="AD30" s="5"/>
      <c r="AE30" s="5"/>
      <c r="AF30" s="5"/>
      <c r="AG30" s="265"/>
      <c r="AH30" s="5"/>
      <c r="AI30" s="5"/>
    </row>
    <row r="31" spans="1:35" ht="13.5" customHeight="1" x14ac:dyDescent="0.2">
      <c r="A31" s="5"/>
      <c r="B31" s="5"/>
      <c r="C31" s="5"/>
      <c r="D31" s="5"/>
      <c r="E31" s="5"/>
      <c r="F31" s="5"/>
      <c r="G31" s="5"/>
      <c r="H31" s="1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14"/>
      <c r="Z31" s="5"/>
      <c r="AA31" s="5"/>
      <c r="AB31" s="5"/>
      <c r="AC31" s="5"/>
      <c r="AD31" s="5"/>
      <c r="AE31" s="5"/>
      <c r="AF31" s="5"/>
      <c r="AG31" s="118" t="s">
        <v>2258</v>
      </c>
      <c r="AH31" s="5"/>
      <c r="AI31" s="5"/>
    </row>
    <row r="32" spans="1:35" ht="15" customHeight="1" x14ac:dyDescent="0.25">
      <c r="A32" s="1072" t="s">
        <v>2322</v>
      </c>
      <c r="B32" s="809"/>
      <c r="C32" s="809"/>
      <c r="D32" s="809"/>
      <c r="E32" s="809"/>
      <c r="F32" s="809"/>
      <c r="G32" s="5"/>
      <c r="H32" s="14"/>
      <c r="I32" s="14"/>
      <c r="J32" s="5"/>
      <c r="K32" s="5"/>
      <c r="L32" s="5"/>
      <c r="M32" s="5"/>
      <c r="N32" s="5"/>
      <c r="O32" s="5"/>
      <c r="P32" s="5"/>
      <c r="Q32" s="5"/>
      <c r="R32" s="1072" t="s">
        <v>2322</v>
      </c>
      <c r="S32" s="809"/>
      <c r="T32" s="809"/>
      <c r="U32" s="809"/>
      <c r="V32" s="809"/>
      <c r="W32" s="809"/>
      <c r="X32" s="5"/>
      <c r="Y32" s="14"/>
      <c r="Z32" s="14"/>
      <c r="AA32" s="5"/>
      <c r="AB32" s="5"/>
      <c r="AC32" s="5"/>
      <c r="AD32" s="5"/>
      <c r="AE32" s="5"/>
      <c r="AF32" s="5"/>
      <c r="AG32" s="118" t="s">
        <v>2263</v>
      </c>
      <c r="AH32" s="5"/>
      <c r="AI32" s="5"/>
    </row>
    <row r="33" spans="1:3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90" t="s">
        <v>2268</v>
      </c>
      <c r="AD33" s="5"/>
      <c r="AE33" s="5"/>
      <c r="AF33" s="5"/>
      <c r="AG33" s="5"/>
      <c r="AH33" s="5"/>
      <c r="AI33" s="5"/>
    </row>
    <row r="34" spans="1:35" ht="13.5" customHeight="1" x14ac:dyDescent="0.2">
      <c r="A34" s="1073" t="s">
        <v>2323</v>
      </c>
      <c r="B34" s="809"/>
      <c r="C34" s="809"/>
      <c r="D34" s="809"/>
      <c r="E34" s="809"/>
      <c r="F34" s="809"/>
      <c r="G34" s="724" t="s">
        <v>1124</v>
      </c>
      <c r="H34" s="743">
        <f>B9*B11*100/9.8</f>
        <v>510.14014992756302</v>
      </c>
      <c r="I34" s="118" t="s">
        <v>360</v>
      </c>
      <c r="J34" s="5"/>
      <c r="K34" s="5"/>
      <c r="L34" s="5"/>
      <c r="M34" s="5"/>
      <c r="N34" s="5"/>
      <c r="O34" s="5"/>
      <c r="P34" s="5"/>
      <c r="Q34" s="5"/>
      <c r="R34" s="1073" t="s">
        <v>2323</v>
      </c>
      <c r="S34" s="809"/>
      <c r="T34" s="809"/>
      <c r="U34" s="809"/>
      <c r="V34" s="809"/>
      <c r="W34" s="809"/>
      <c r="X34" s="724" t="s">
        <v>1124</v>
      </c>
      <c r="Y34" s="743">
        <f>H34*2.205*1000</f>
        <v>1124859.0305902765</v>
      </c>
      <c r="Z34" s="118" t="s">
        <v>821</v>
      </c>
      <c r="AA34" s="5"/>
      <c r="AB34" s="736" t="s">
        <v>2272</v>
      </c>
      <c r="AC34" s="5"/>
      <c r="AD34" s="121" t="s">
        <v>2273</v>
      </c>
      <c r="AE34" s="5"/>
      <c r="AF34" s="5"/>
      <c r="AG34" s="5"/>
      <c r="AH34" s="5"/>
      <c r="AI34" s="5"/>
    </row>
    <row r="35" spans="1:35" x14ac:dyDescent="0.2">
      <c r="A35" s="809"/>
      <c r="B35" s="809"/>
      <c r="C35" s="809"/>
      <c r="D35" s="809"/>
      <c r="E35" s="809"/>
      <c r="F35" s="809"/>
      <c r="G35" s="5" t="s">
        <v>2324</v>
      </c>
      <c r="H35" s="117"/>
      <c r="I35" s="118"/>
      <c r="J35" s="5"/>
      <c r="K35" s="5"/>
      <c r="L35" s="5"/>
      <c r="M35" s="5"/>
      <c r="N35" s="5"/>
      <c r="O35" s="5"/>
      <c r="P35" s="5"/>
      <c r="Q35" s="5"/>
      <c r="R35" s="809"/>
      <c r="S35" s="809"/>
      <c r="T35" s="809"/>
      <c r="U35" s="809"/>
      <c r="V35" s="809"/>
      <c r="W35" s="809"/>
      <c r="X35" s="5" t="s">
        <v>2324</v>
      </c>
      <c r="Y35" s="117"/>
      <c r="Z35" s="118"/>
      <c r="AA35" s="5"/>
      <c r="AB35" s="5"/>
      <c r="AC35" s="5"/>
      <c r="AD35" s="121" t="s">
        <v>2278</v>
      </c>
      <c r="AE35" s="5"/>
      <c r="AF35" s="5"/>
      <c r="AG35" s="5"/>
      <c r="AH35" s="5"/>
      <c r="AI35" s="5"/>
    </row>
    <row r="36" spans="1:35" x14ac:dyDescent="0.2">
      <c r="A36" s="809"/>
      <c r="B36" s="809"/>
      <c r="C36" s="809"/>
      <c r="D36" s="809"/>
      <c r="E36" s="809"/>
      <c r="F36" s="80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809"/>
      <c r="S36" s="809"/>
      <c r="T36" s="809"/>
      <c r="U36" s="809"/>
      <c r="V36" s="809"/>
      <c r="W36" s="809"/>
      <c r="X36" s="5"/>
      <c r="Y36" s="5"/>
      <c r="Z36" s="5"/>
      <c r="AA36" s="5"/>
      <c r="AB36" s="226"/>
      <c r="AC36" s="5"/>
      <c r="AD36" s="5"/>
      <c r="AE36" s="5"/>
      <c r="AF36" s="5"/>
      <c r="AG36" s="5"/>
      <c r="AH36" s="5"/>
      <c r="AI36" s="5"/>
    </row>
    <row r="37" spans="1:35" x14ac:dyDescent="0.2">
      <c r="A37" s="5"/>
      <c r="B37" s="5"/>
      <c r="C37" s="5"/>
      <c r="D37" s="5"/>
      <c r="E37" s="5"/>
      <c r="F37" s="5"/>
      <c r="G37" s="5"/>
      <c r="H37" s="117"/>
      <c r="I37" s="118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117"/>
      <c r="Z37" s="118"/>
      <c r="AA37" s="5"/>
      <c r="AB37" s="739" t="s">
        <v>2286</v>
      </c>
      <c r="AC37" s="5"/>
      <c r="AD37" s="739" t="s">
        <v>2287</v>
      </c>
      <c r="AE37" s="5"/>
      <c r="AF37" s="736" t="s">
        <v>2288</v>
      </c>
      <c r="AG37" s="5"/>
      <c r="AH37" s="5"/>
      <c r="AI37" s="5"/>
    </row>
    <row r="38" spans="1:35" ht="13.5" customHeight="1" x14ac:dyDescent="0.2">
      <c r="A38" s="932" t="s">
        <v>2325</v>
      </c>
      <c r="B38" s="809"/>
      <c r="C38" s="809"/>
      <c r="D38" s="809"/>
      <c r="E38" s="809"/>
      <c r="F38" s="809"/>
      <c r="G38" s="724" t="s">
        <v>1125</v>
      </c>
      <c r="H38" s="743">
        <f>B10*B11*100/9.8</f>
        <v>637.67518740945388</v>
      </c>
      <c r="I38" s="118" t="s">
        <v>360</v>
      </c>
      <c r="J38" s="5"/>
      <c r="K38" s="5"/>
      <c r="L38" s="5"/>
      <c r="M38" s="5"/>
      <c r="N38" s="5"/>
      <c r="O38" s="5"/>
      <c r="P38" s="5"/>
      <c r="Q38" s="260"/>
      <c r="R38" s="932" t="s">
        <v>2325</v>
      </c>
      <c r="S38" s="809"/>
      <c r="T38" s="809"/>
      <c r="U38" s="809"/>
      <c r="V38" s="809"/>
      <c r="W38" s="809"/>
      <c r="X38" s="724" t="s">
        <v>1125</v>
      </c>
      <c r="Y38" s="743">
        <f>H38*2.205*1000</f>
        <v>1406073.7882378458</v>
      </c>
      <c r="Z38" s="118" t="s">
        <v>821</v>
      </c>
      <c r="AA38" s="5"/>
      <c r="AB38" s="5"/>
      <c r="AC38" s="5"/>
      <c r="AD38" s="5"/>
      <c r="AE38" s="5"/>
      <c r="AF38" s="5"/>
      <c r="AG38" s="5"/>
      <c r="AH38" s="5"/>
      <c r="AI38" s="5"/>
    </row>
    <row r="39" spans="1:35" x14ac:dyDescent="0.2">
      <c r="A39" s="809"/>
      <c r="B39" s="809"/>
      <c r="C39" s="809"/>
      <c r="D39" s="809"/>
      <c r="E39" s="809"/>
      <c r="F39" s="809"/>
      <c r="G39" s="5" t="s">
        <v>2326</v>
      </c>
      <c r="H39" s="117"/>
      <c r="I39" s="118"/>
      <c r="J39" s="5"/>
      <c r="K39" s="5"/>
      <c r="L39" s="5"/>
      <c r="M39" s="5"/>
      <c r="N39" s="5"/>
      <c r="O39" s="5"/>
      <c r="P39" s="5"/>
      <c r="Q39" s="260"/>
      <c r="R39" s="809"/>
      <c r="S39" s="809"/>
      <c r="T39" s="809"/>
      <c r="U39" s="809"/>
      <c r="V39" s="809"/>
      <c r="W39" s="809"/>
      <c r="X39" s="5" t="s">
        <v>2326</v>
      </c>
      <c r="Y39" s="117"/>
      <c r="Z39" s="118"/>
      <c r="AA39" s="5"/>
      <c r="AB39" s="740"/>
      <c r="AC39" s="740"/>
      <c r="AD39" s="741"/>
      <c r="AE39" s="741"/>
      <c r="AF39" s="741"/>
      <c r="AG39" s="741"/>
      <c r="AH39" s="5"/>
      <c r="AI39" s="5"/>
    </row>
    <row r="40" spans="1:35" x14ac:dyDescent="0.2">
      <c r="A40" s="5"/>
      <c r="B40" s="5"/>
      <c r="C40" s="5"/>
      <c r="D40" s="5"/>
      <c r="E40" s="5"/>
      <c r="F40" s="5"/>
      <c r="G40" s="5"/>
      <c r="H40" s="117"/>
      <c r="I40" s="118"/>
      <c r="J40" s="5"/>
      <c r="K40" s="5"/>
      <c r="L40" s="5"/>
      <c r="M40" s="5"/>
      <c r="N40" s="5"/>
      <c r="O40" s="5"/>
      <c r="P40" s="5"/>
      <c r="Q40" s="417"/>
      <c r="R40" s="5"/>
      <c r="S40" s="5"/>
      <c r="T40" s="5"/>
      <c r="U40" s="5"/>
      <c r="V40" s="5"/>
      <c r="W40" s="5"/>
      <c r="X40" s="5"/>
      <c r="Y40" s="117"/>
      <c r="Z40" s="118"/>
      <c r="AA40" s="5"/>
      <c r="AB40" s="5"/>
      <c r="AC40" s="90" t="s">
        <v>2300</v>
      </c>
      <c r="AD40" s="90" t="s">
        <v>2301</v>
      </c>
      <c r="AE40" s="5"/>
      <c r="AF40" s="5"/>
      <c r="AG40" s="5"/>
      <c r="AH40" s="5"/>
      <c r="AI40" s="5"/>
    </row>
    <row r="41" spans="1:35" ht="12.75" customHeight="1" x14ac:dyDescent="0.2">
      <c r="A41" s="932" t="s">
        <v>2327</v>
      </c>
      <c r="B41" s="809"/>
      <c r="C41" s="809"/>
      <c r="D41" s="809"/>
      <c r="E41" s="809"/>
      <c r="F41" s="809"/>
      <c r="G41" s="724" t="s">
        <v>1126</v>
      </c>
      <c r="H41" s="743">
        <f>(B13+B12)/1000</f>
        <v>75.332058219880295</v>
      </c>
      <c r="I41" s="118" t="s">
        <v>360</v>
      </c>
      <c r="J41" s="5"/>
      <c r="K41" s="5"/>
      <c r="L41" s="5"/>
      <c r="M41" s="5"/>
      <c r="N41" s="5"/>
      <c r="O41" s="5"/>
      <c r="P41" s="5"/>
      <c r="Q41" s="14"/>
      <c r="R41" s="932" t="s">
        <v>2327</v>
      </c>
      <c r="S41" s="809"/>
      <c r="T41" s="809"/>
      <c r="U41" s="809"/>
      <c r="V41" s="809"/>
      <c r="W41" s="809"/>
      <c r="X41" s="724" t="s">
        <v>1126</v>
      </c>
      <c r="Y41" s="743">
        <f>H41*2.205*1000</f>
        <v>166107.18837483606</v>
      </c>
      <c r="Z41" s="118" t="s">
        <v>821</v>
      </c>
      <c r="AA41" s="5"/>
      <c r="AB41" s="5"/>
      <c r="AC41" s="742" t="s">
        <v>2308</v>
      </c>
      <c r="AD41" s="5"/>
      <c r="AE41" s="5"/>
      <c r="AF41" s="5"/>
      <c r="AG41" s="5"/>
      <c r="AH41" s="5"/>
      <c r="AI41" s="5"/>
    </row>
    <row r="42" spans="1:35" x14ac:dyDescent="0.2">
      <c r="A42" s="212"/>
      <c r="B42" s="212"/>
      <c r="C42" s="212"/>
      <c r="D42" s="212"/>
      <c r="E42" s="212"/>
      <c r="F42" s="5"/>
      <c r="G42" s="5" t="s">
        <v>2328</v>
      </c>
      <c r="H42" s="5"/>
      <c r="I42" s="5"/>
      <c r="J42" s="5"/>
      <c r="K42" s="5"/>
      <c r="L42" s="5"/>
      <c r="M42" s="5"/>
      <c r="N42" s="5"/>
      <c r="O42" s="5"/>
      <c r="P42" s="5"/>
      <c r="Q42" s="265"/>
      <c r="R42" s="212"/>
      <c r="S42" s="212"/>
      <c r="T42" s="212"/>
      <c r="U42" s="212"/>
      <c r="V42" s="212"/>
      <c r="W42" s="212"/>
      <c r="X42" s="5" t="s">
        <v>2328</v>
      </c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x14ac:dyDescent="0.2">
      <c r="A43" s="5"/>
      <c r="B43" s="5"/>
      <c r="C43" s="5"/>
      <c r="D43" s="5"/>
      <c r="E43" s="5"/>
      <c r="F43" s="5"/>
      <c r="G43" s="118"/>
      <c r="H43" s="117"/>
      <c r="I43" s="118"/>
      <c r="J43" s="5"/>
      <c r="K43" s="5"/>
      <c r="L43" s="5"/>
      <c r="M43" s="417"/>
      <c r="N43" s="5"/>
      <c r="O43" s="5"/>
      <c r="P43" s="5"/>
      <c r="Q43" s="5"/>
      <c r="R43" s="5"/>
      <c r="S43" s="5"/>
      <c r="T43" s="5"/>
      <c r="U43" s="5"/>
      <c r="V43" s="5"/>
      <c r="W43" s="5"/>
      <c r="X43" s="118"/>
      <c r="Y43" s="117"/>
      <c r="Z43" s="118"/>
      <c r="AA43" s="5"/>
      <c r="AB43" s="5"/>
      <c r="AC43" s="5"/>
      <c r="AD43" s="5"/>
      <c r="AE43" s="5"/>
      <c r="AF43" s="5"/>
      <c r="AG43" s="5"/>
      <c r="AH43" s="5"/>
      <c r="AI43" s="5"/>
    </row>
    <row r="44" spans="1:35" x14ac:dyDescent="0.2">
      <c r="A44" s="5" t="s">
        <v>2329</v>
      </c>
      <c r="B44" s="5"/>
      <c r="C44" s="5"/>
      <c r="D44" s="5"/>
      <c r="E44" s="5"/>
      <c r="F44" s="5"/>
      <c r="G44" s="724" t="s">
        <v>1127</v>
      </c>
      <c r="H44" s="743">
        <f>B16/1000</f>
        <v>14.77828306370569</v>
      </c>
      <c r="I44" s="118" t="s">
        <v>360</v>
      </c>
      <c r="J44" s="739"/>
      <c r="K44" s="5"/>
      <c r="L44" s="5"/>
      <c r="M44" s="14"/>
      <c r="N44" s="5"/>
      <c r="O44" s="5"/>
      <c r="P44" s="5"/>
      <c r="Q44" s="5"/>
      <c r="R44" s="5" t="s">
        <v>2329</v>
      </c>
      <c r="S44" s="5"/>
      <c r="T44" s="5"/>
      <c r="U44" s="5"/>
      <c r="V44" s="5"/>
      <c r="W44" s="5"/>
      <c r="X44" s="724" t="s">
        <v>1127</v>
      </c>
      <c r="Y44" s="743">
        <f>H44*2.205*1000</f>
        <v>32586.114155471045</v>
      </c>
      <c r="Z44" s="118" t="s">
        <v>821</v>
      </c>
      <c r="AA44" s="739"/>
      <c r="AB44" s="5"/>
      <c r="AC44" s="5"/>
      <c r="AD44" s="5"/>
      <c r="AE44" s="5"/>
      <c r="AF44" s="5"/>
      <c r="AG44" s="5"/>
      <c r="AH44" s="5"/>
      <c r="AI44" s="5"/>
    </row>
    <row r="45" spans="1:35" x14ac:dyDescent="0.2">
      <c r="A45" s="5"/>
      <c r="B45" s="5"/>
      <c r="C45" s="5"/>
      <c r="D45" s="5"/>
      <c r="E45" s="5"/>
      <c r="F45" s="5"/>
      <c r="G45" s="118"/>
      <c r="H45" s="117"/>
      <c r="I45" s="118"/>
      <c r="J45" s="5"/>
      <c r="K45" s="5"/>
      <c r="L45" s="5"/>
      <c r="M45" s="325"/>
      <c r="N45" s="248"/>
      <c r="O45" s="5"/>
      <c r="P45" s="5"/>
      <c r="Q45" s="5"/>
      <c r="R45" s="5"/>
      <c r="S45" s="5"/>
      <c r="T45" s="5"/>
      <c r="U45" s="5"/>
      <c r="V45" s="5"/>
      <c r="W45" s="5"/>
      <c r="X45" s="118"/>
      <c r="Y45" s="117"/>
      <c r="Z45" s="118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24" customHeight="1" x14ac:dyDescent="0.2">
      <c r="A46" s="982" t="s">
        <v>2330</v>
      </c>
      <c r="B46" s="809"/>
      <c r="C46" s="809"/>
      <c r="D46" s="809"/>
      <c r="E46" s="809"/>
      <c r="F46" s="809"/>
      <c r="G46" s="724" t="s">
        <v>1128</v>
      </c>
      <c r="H46" s="743">
        <f>(B14+B15)/1000</f>
        <v>84.989294994331019</v>
      </c>
      <c r="I46" s="118" t="s">
        <v>360</v>
      </c>
      <c r="J46" s="5"/>
      <c r="K46" s="5"/>
      <c r="L46" s="5"/>
      <c r="M46" s="5"/>
      <c r="N46" s="5"/>
      <c r="O46" s="5"/>
      <c r="P46" s="5"/>
      <c r="Q46" s="5"/>
      <c r="R46" s="982" t="s">
        <v>2330</v>
      </c>
      <c r="S46" s="809"/>
      <c r="T46" s="809"/>
      <c r="U46" s="809"/>
      <c r="V46" s="809"/>
      <c r="W46" s="809"/>
      <c r="X46" s="724" t="s">
        <v>1128</v>
      </c>
      <c r="Y46" s="743">
        <f>H46*2.205*1000</f>
        <v>187401.3954624999</v>
      </c>
      <c r="Z46" s="118" t="s">
        <v>821</v>
      </c>
      <c r="AA46" s="5"/>
      <c r="AB46" s="5"/>
      <c r="AC46" s="5"/>
      <c r="AD46" s="5"/>
      <c r="AE46" s="5"/>
      <c r="AF46" s="5"/>
      <c r="AG46" s="5"/>
      <c r="AH46" s="5"/>
      <c r="AI46" s="5"/>
    </row>
    <row r="47" spans="1:35" x14ac:dyDescent="0.2">
      <c r="A47" s="218"/>
      <c r="B47" s="218"/>
      <c r="C47" s="218"/>
      <c r="D47" s="218"/>
      <c r="E47" s="218"/>
      <c r="F47" s="218"/>
      <c r="G47" s="64" t="s">
        <v>2331</v>
      </c>
      <c r="H47" s="117"/>
      <c r="I47" s="5"/>
      <c r="J47" s="5"/>
      <c r="K47" s="5"/>
      <c r="L47" s="5"/>
      <c r="M47" s="5"/>
      <c r="N47" s="5"/>
      <c r="O47" s="5"/>
      <c r="P47" s="5"/>
      <c r="Q47" s="5"/>
      <c r="R47" s="218"/>
      <c r="S47" s="218"/>
      <c r="T47" s="218"/>
      <c r="U47" s="218"/>
      <c r="V47" s="218"/>
      <c r="W47" s="218"/>
      <c r="X47" s="64" t="s">
        <v>2331</v>
      </c>
      <c r="Y47" s="117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x14ac:dyDescent="0.2">
      <c r="A48" s="5"/>
      <c r="B48" s="5"/>
      <c r="C48" s="5"/>
      <c r="D48" s="5"/>
      <c r="E48" s="5"/>
      <c r="F48" s="5"/>
      <c r="G48" s="5"/>
      <c r="H48" s="11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117"/>
      <c r="Z48" s="5"/>
      <c r="AA48" s="5"/>
      <c r="AB48" s="117"/>
      <c r="AC48" s="117"/>
      <c r="AD48" s="117"/>
      <c r="AE48" s="117"/>
      <c r="AF48" s="117"/>
      <c r="AG48" s="117"/>
      <c r="AH48" s="117"/>
      <c r="AI48" s="5"/>
    </row>
    <row r="49" spans="1:35" x14ac:dyDescent="0.2">
      <c r="A49" s="1003" t="s">
        <v>2332</v>
      </c>
      <c r="B49" s="809"/>
      <c r="C49" s="809"/>
      <c r="D49" s="809"/>
      <c r="E49" s="809"/>
      <c r="F49" s="809"/>
      <c r="G49" s="724" t="s">
        <v>1129</v>
      </c>
      <c r="H49" s="743">
        <f>B17/1000</f>
        <v>19.014599011625499</v>
      </c>
      <c r="I49" s="118" t="s">
        <v>360</v>
      </c>
      <c r="J49" s="5"/>
      <c r="K49" s="5"/>
      <c r="L49" s="5"/>
      <c r="M49" s="5"/>
      <c r="N49" s="5"/>
      <c r="O49" s="5"/>
      <c r="P49" s="5"/>
      <c r="Q49" s="5"/>
      <c r="R49" s="1003" t="s">
        <v>2332</v>
      </c>
      <c r="S49" s="809"/>
      <c r="T49" s="809"/>
      <c r="U49" s="809"/>
      <c r="V49" s="809"/>
      <c r="W49" s="809"/>
      <c r="X49" s="724" t="s">
        <v>1129</v>
      </c>
      <c r="Y49" s="743">
        <f>H49*2.205*1000</f>
        <v>41927.190820634227</v>
      </c>
      <c r="Z49" s="118" t="s">
        <v>821</v>
      </c>
      <c r="AA49" s="5"/>
      <c r="AB49" s="5"/>
      <c r="AC49" s="5"/>
      <c r="AD49" s="5"/>
      <c r="AE49" s="5"/>
      <c r="AF49" s="5"/>
      <c r="AG49" s="5"/>
      <c r="AH49" s="5"/>
      <c r="AI49" s="5"/>
    </row>
    <row r="50" spans="1:35" x14ac:dyDescent="0.2">
      <c r="A50" s="809"/>
      <c r="B50" s="809"/>
      <c r="C50" s="809"/>
      <c r="D50" s="809"/>
      <c r="E50" s="809"/>
      <c r="F50" s="809"/>
      <c r="G50" s="5"/>
      <c r="H50" s="5"/>
      <c r="I50" s="5"/>
      <c r="J50" s="5"/>
      <c r="K50" s="5"/>
      <c r="L50" s="5"/>
      <c r="M50" s="417"/>
      <c r="N50" s="5"/>
      <c r="O50" s="5"/>
      <c r="P50" s="5"/>
      <c r="Q50" s="5"/>
      <c r="R50" s="809"/>
      <c r="S50" s="809"/>
      <c r="T50" s="809"/>
      <c r="U50" s="809"/>
      <c r="V50" s="809"/>
      <c r="W50" s="809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3.5" customHeight="1" thickBot="1" x14ac:dyDescent="0.25">
      <c r="A51" s="5"/>
      <c r="B51" s="5"/>
      <c r="C51" s="5"/>
      <c r="D51" s="5"/>
      <c r="E51" s="5"/>
      <c r="F51" s="5"/>
      <c r="G51" s="5"/>
      <c r="H51" s="5"/>
      <c r="I51" s="5"/>
      <c r="J51" s="739"/>
      <c r="K51" s="5"/>
      <c r="L51" s="5"/>
      <c r="M51" s="1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739"/>
      <c r="AB51" s="5"/>
      <c r="AC51" s="5"/>
      <c r="AD51" s="5"/>
      <c r="AE51" s="5"/>
      <c r="AF51" s="5"/>
      <c r="AG51" s="5"/>
      <c r="AH51" s="5"/>
      <c r="AI51" s="5"/>
    </row>
    <row r="52" spans="1:35" ht="13.5" customHeight="1" thickBot="1" x14ac:dyDescent="0.25">
      <c r="A52" s="932" t="s">
        <v>2333</v>
      </c>
      <c r="B52" s="809"/>
      <c r="C52" s="809"/>
      <c r="D52" s="809"/>
      <c r="E52" s="809"/>
      <c r="F52" s="809"/>
      <c r="G52" s="724" t="s">
        <v>1130</v>
      </c>
      <c r="H52" s="744">
        <f>B20/1000</f>
        <v>42.601327789644152</v>
      </c>
      <c r="I52" s="118" t="s">
        <v>360</v>
      </c>
      <c r="J52" s="5"/>
      <c r="K52" s="5"/>
      <c r="L52" s="5"/>
      <c r="M52" s="5"/>
      <c r="N52" s="5"/>
      <c r="O52" s="5"/>
      <c r="P52" s="5"/>
      <c r="Q52" s="5"/>
      <c r="R52" s="932" t="s">
        <v>2333</v>
      </c>
      <c r="S52" s="809"/>
      <c r="T52" s="809"/>
      <c r="U52" s="809"/>
      <c r="V52" s="809"/>
      <c r="W52" s="809"/>
      <c r="X52" s="724" t="s">
        <v>1130</v>
      </c>
      <c r="Y52" s="743">
        <f>H52*2.205*1000</f>
        <v>93935.92777616535</v>
      </c>
      <c r="Z52" s="118" t="s">
        <v>821</v>
      </c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2.75" customHeight="1" x14ac:dyDescent="0.2">
      <c r="A53" s="809"/>
      <c r="B53" s="809"/>
      <c r="C53" s="809"/>
      <c r="D53" s="809"/>
      <c r="E53" s="809"/>
      <c r="F53" s="80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809"/>
      <c r="S53" s="809"/>
      <c r="T53" s="809"/>
      <c r="U53" s="809"/>
      <c r="V53" s="809"/>
      <c r="W53" s="809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6.5" customHeight="1" thickBo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ht="17.25" customHeight="1" thickTop="1" thickBot="1" x14ac:dyDescent="0.3">
      <c r="A55" s="822"/>
      <c r="B55" s="823"/>
      <c r="C55" s="824"/>
      <c r="D55" s="913" t="str">
        <f>'Front Page'!$A$13</f>
        <v>Mechanical  Calculations</v>
      </c>
      <c r="E55" s="842"/>
      <c r="F55" s="842"/>
      <c r="G55" s="842"/>
      <c r="H55" s="843"/>
      <c r="I55" s="5"/>
      <c r="J55" s="5"/>
      <c r="K55" s="5"/>
      <c r="L55" s="5"/>
      <c r="M55" s="5"/>
      <c r="N55" s="5"/>
      <c r="O55" s="5"/>
      <c r="P55" s="5"/>
      <c r="Q55" s="5"/>
      <c r="R55" s="822"/>
      <c r="S55" s="823"/>
      <c r="T55" s="824"/>
      <c r="U55" s="913" t="str">
        <f>'Front Page'!$A$13</f>
        <v>Mechanical  Calculations</v>
      </c>
      <c r="V55" s="842"/>
      <c r="W55" s="842"/>
      <c r="X55" s="842"/>
      <c r="Y55" s="842"/>
      <c r="Z55" s="843"/>
      <c r="AA55" s="5"/>
      <c r="AB55" s="5"/>
      <c r="AC55" s="5"/>
      <c r="AD55" s="5"/>
      <c r="AE55" s="5"/>
      <c r="AF55" s="5"/>
      <c r="AG55" s="5"/>
      <c r="AH55" s="5"/>
      <c r="AI55" s="5"/>
    </row>
    <row r="56" spans="1:35" ht="16.5" customHeight="1" thickBot="1" x14ac:dyDescent="0.3">
      <c r="A56" s="825"/>
      <c r="B56" s="809"/>
      <c r="C56" s="826"/>
      <c r="D56" s="839"/>
      <c r="E56" s="831"/>
      <c r="F56" s="831"/>
      <c r="G56" s="831"/>
      <c r="H56" s="832"/>
      <c r="I56" s="5"/>
      <c r="J56" s="5"/>
      <c r="K56" s="5"/>
      <c r="L56" s="226"/>
      <c r="M56" s="417"/>
      <c r="N56" s="5"/>
      <c r="O56" s="5"/>
      <c r="P56" s="5"/>
      <c r="Q56" s="5"/>
      <c r="R56" s="825"/>
      <c r="S56" s="809"/>
      <c r="T56" s="826"/>
      <c r="U56" s="839"/>
      <c r="V56" s="831"/>
      <c r="W56" s="831"/>
      <c r="X56" s="831"/>
      <c r="Y56" s="831"/>
      <c r="Z56" s="832"/>
      <c r="AA56" s="5"/>
      <c r="AB56" s="5"/>
      <c r="AC56" s="226"/>
      <c r="AD56" s="417"/>
      <c r="AE56" s="5"/>
      <c r="AF56" s="5"/>
      <c r="AG56" s="5"/>
      <c r="AH56" s="5"/>
      <c r="AI56" s="5"/>
    </row>
    <row r="57" spans="1:35" ht="16.5" customHeight="1" thickBot="1" x14ac:dyDescent="0.3">
      <c r="A57" s="827"/>
      <c r="B57" s="828"/>
      <c r="C57" s="829"/>
      <c r="D57" s="839" t="s">
        <v>2234</v>
      </c>
      <c r="E57" s="831"/>
      <c r="F57" s="831"/>
      <c r="G57" s="831"/>
      <c r="H57" s="832"/>
      <c r="I57" s="5"/>
      <c r="J57" s="5"/>
      <c r="K57" s="5"/>
      <c r="L57" s="226"/>
      <c r="M57" s="417"/>
      <c r="N57" s="5"/>
      <c r="O57" s="5"/>
      <c r="P57" s="5"/>
      <c r="Q57" s="5"/>
      <c r="R57" s="827"/>
      <c r="S57" s="828"/>
      <c r="T57" s="829"/>
      <c r="U57" s="839" t="s">
        <v>2234</v>
      </c>
      <c r="V57" s="831"/>
      <c r="W57" s="831"/>
      <c r="X57" s="831"/>
      <c r="Y57" s="831"/>
      <c r="Z57" s="832"/>
      <c r="AA57" s="5"/>
      <c r="AB57" s="5"/>
      <c r="AC57" s="226"/>
      <c r="AD57" s="417"/>
      <c r="AE57" s="5"/>
      <c r="AF57" s="5"/>
      <c r="AG57" s="5"/>
      <c r="AH57" s="5"/>
      <c r="AI57" s="5"/>
    </row>
    <row r="58" spans="1:35" ht="15.75" customHeight="1" thickBot="1" x14ac:dyDescent="0.3">
      <c r="A58" s="830"/>
      <c r="B58" s="831"/>
      <c r="C58" s="832"/>
      <c r="D58" s="915" t="str">
        <f>'Front Page'!$D$4</f>
        <v>Doc Nº</v>
      </c>
      <c r="E58" s="832"/>
      <c r="F58" s="13"/>
      <c r="G58" s="846"/>
      <c r="H58" s="832"/>
      <c r="I58" s="5"/>
      <c r="J58" s="5"/>
      <c r="K58" s="5"/>
      <c r="L58" s="226"/>
      <c r="M58" s="417"/>
      <c r="N58" s="5"/>
      <c r="O58" s="5"/>
      <c r="P58" s="5"/>
      <c r="Q58" s="5"/>
      <c r="R58" s="830"/>
      <c r="S58" s="831"/>
      <c r="T58" s="832"/>
      <c r="U58" s="915" t="str">
        <f>'Front Page'!$D$4</f>
        <v>Doc Nº</v>
      </c>
      <c r="V58" s="832"/>
      <c r="W58" s="13"/>
      <c r="X58" s="846"/>
      <c r="Y58" s="831"/>
      <c r="Z58" s="832"/>
      <c r="AA58" s="5"/>
      <c r="AB58" s="5"/>
      <c r="AC58" s="226"/>
      <c r="AD58" s="417"/>
      <c r="AE58" s="5"/>
      <c r="AF58" s="5"/>
      <c r="AG58" s="5"/>
      <c r="AH58" s="5"/>
      <c r="AI58" s="5"/>
    </row>
    <row r="59" spans="1:35" ht="13.5" customHeight="1" thickBot="1" x14ac:dyDescent="0.3">
      <c r="A59" s="987"/>
      <c r="B59" s="834"/>
      <c r="C59" s="835"/>
      <c r="D59" s="914" t="str">
        <f>'Front Page'!$D$5</f>
        <v>Project</v>
      </c>
      <c r="E59" s="835"/>
      <c r="F59" s="62"/>
      <c r="G59" s="131" t="s">
        <v>5</v>
      </c>
      <c r="H59" s="132"/>
      <c r="I59" s="5"/>
      <c r="J59" s="739"/>
      <c r="K59" s="5"/>
      <c r="L59" s="226"/>
      <c r="M59" s="417"/>
      <c r="N59" s="5"/>
      <c r="O59" s="5"/>
      <c r="P59" s="5"/>
      <c r="Q59" s="5"/>
      <c r="R59" s="987"/>
      <c r="S59" s="834"/>
      <c r="T59" s="835"/>
      <c r="U59" s="914" t="str">
        <f>'Front Page'!$D$5</f>
        <v>Project</v>
      </c>
      <c r="V59" s="835"/>
      <c r="W59" s="62"/>
      <c r="X59" s="131" t="s">
        <v>5</v>
      </c>
      <c r="Y59" s="836"/>
      <c r="Z59" s="835"/>
      <c r="AA59" s="739"/>
      <c r="AB59" s="5"/>
      <c r="AC59" s="226"/>
      <c r="AD59" s="417"/>
      <c r="AE59" s="5"/>
      <c r="AF59" s="5"/>
      <c r="AG59" s="5"/>
      <c r="AH59" s="5"/>
      <c r="AI59" s="5"/>
    </row>
    <row r="60" spans="1:35" ht="14.25" customHeight="1" thickTop="1" thickBot="1" x14ac:dyDescent="0.25">
      <c r="A60" s="5"/>
      <c r="B60" s="5"/>
      <c r="C60" s="5"/>
      <c r="D60" s="5"/>
      <c r="E60" s="5"/>
      <c r="F60" s="5"/>
      <c r="G60" s="5"/>
      <c r="H60" s="117"/>
      <c r="I60" s="5"/>
      <c r="J60" s="5"/>
      <c r="K60" s="5"/>
      <c r="L60" s="226"/>
      <c r="M60" s="417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117"/>
      <c r="Z60" s="5"/>
      <c r="AA60" s="5"/>
      <c r="AB60" s="5"/>
      <c r="AC60" s="226"/>
      <c r="AD60" s="417"/>
      <c r="AE60" s="5"/>
      <c r="AF60" s="5"/>
      <c r="AG60" s="5"/>
      <c r="AH60" s="5"/>
      <c r="AI60" s="5"/>
    </row>
    <row r="61" spans="1:35" ht="22.35" customHeight="1" thickBot="1" x14ac:dyDescent="0.25">
      <c r="A61" s="982" t="s">
        <v>2334</v>
      </c>
      <c r="B61" s="809"/>
      <c r="C61" s="809"/>
      <c r="D61" s="809"/>
      <c r="E61" s="809"/>
      <c r="F61" s="809"/>
      <c r="G61" s="724" t="s">
        <v>1131</v>
      </c>
      <c r="H61" s="744">
        <f>(B21+B22)/1000</f>
        <v>97.539346434751693</v>
      </c>
      <c r="I61" s="118" t="s">
        <v>360</v>
      </c>
      <c r="J61" s="5"/>
      <c r="K61" s="5"/>
      <c r="L61" s="226"/>
      <c r="M61" s="417"/>
      <c r="N61" s="5"/>
      <c r="O61" s="5"/>
      <c r="P61" s="5"/>
      <c r="Q61" s="5"/>
      <c r="R61" s="982" t="s">
        <v>2334</v>
      </c>
      <c r="S61" s="809"/>
      <c r="T61" s="809"/>
      <c r="U61" s="809"/>
      <c r="V61" s="809"/>
      <c r="W61" s="809"/>
      <c r="X61" s="724" t="s">
        <v>1131</v>
      </c>
      <c r="Y61" s="743">
        <f>H61*2.205*1000</f>
        <v>215074.25888862749</v>
      </c>
      <c r="Z61" s="118" t="s">
        <v>821</v>
      </c>
      <c r="AA61" s="5"/>
      <c r="AB61" s="5"/>
      <c r="AC61" s="226"/>
      <c r="AD61" s="417"/>
      <c r="AE61" s="5"/>
      <c r="AF61" s="5"/>
      <c r="AG61" s="5"/>
      <c r="AH61" s="5"/>
      <c r="AI61" s="5"/>
    </row>
    <row r="62" spans="1:35" ht="15.75" customHeight="1" x14ac:dyDescent="0.2">
      <c r="A62" s="809"/>
      <c r="B62" s="809"/>
      <c r="C62" s="809"/>
      <c r="D62" s="809"/>
      <c r="E62" s="809"/>
      <c r="F62" s="809"/>
      <c r="G62" s="5" t="s">
        <v>2335</v>
      </c>
      <c r="H62" s="5"/>
      <c r="I62" s="118"/>
      <c r="J62" s="5"/>
      <c r="K62" s="5"/>
      <c r="L62" s="5"/>
      <c r="M62" s="5"/>
      <c r="N62" s="5"/>
      <c r="O62" s="5"/>
      <c r="P62" s="5"/>
      <c r="Q62" s="5"/>
      <c r="R62" s="809"/>
      <c r="S62" s="809"/>
      <c r="T62" s="809"/>
      <c r="U62" s="809"/>
      <c r="V62" s="809"/>
      <c r="W62" s="809"/>
      <c r="X62" s="5" t="s">
        <v>2335</v>
      </c>
      <c r="Y62" s="5"/>
      <c r="Z62" s="118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13.5" customHeight="1" thickBot="1" x14ac:dyDescent="0.25">
      <c r="A63" s="5"/>
      <c r="B63" s="5"/>
      <c r="C63" s="5"/>
      <c r="D63" s="5"/>
      <c r="E63" s="5"/>
      <c r="F63" s="5"/>
      <c r="G63" s="118"/>
      <c r="H63" s="117"/>
      <c r="I63" s="118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118"/>
      <c r="Y63" s="117"/>
      <c r="Z63" s="118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3.5" customHeight="1" thickBot="1" x14ac:dyDescent="0.25">
      <c r="A64" s="5" t="s">
        <v>2336</v>
      </c>
      <c r="B64" s="5"/>
      <c r="C64" s="5"/>
      <c r="D64" s="5"/>
      <c r="E64" s="5"/>
      <c r="F64" s="5"/>
      <c r="G64" s="724" t="s">
        <v>1132</v>
      </c>
      <c r="H64" s="744">
        <f>B23/1000</f>
        <v>229.25756576050733</v>
      </c>
      <c r="I64" s="118" t="s">
        <v>360</v>
      </c>
      <c r="J64" s="5"/>
      <c r="K64" s="5"/>
      <c r="L64" s="5"/>
      <c r="M64" s="5"/>
      <c r="N64" s="5"/>
      <c r="O64" s="5"/>
      <c r="P64" s="5"/>
      <c r="Q64" s="5"/>
      <c r="R64" s="5" t="s">
        <v>2336</v>
      </c>
      <c r="S64" s="5"/>
      <c r="T64" s="5"/>
      <c r="U64" s="5"/>
      <c r="V64" s="5"/>
      <c r="W64" s="5"/>
      <c r="X64" s="724" t="s">
        <v>1132</v>
      </c>
      <c r="Y64" s="743">
        <f>H64*2.205*1000</f>
        <v>505512.93250191869</v>
      </c>
      <c r="Z64" s="118" t="s">
        <v>821</v>
      </c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3.5" customHeight="1" thickBot="1" x14ac:dyDescent="0.25">
      <c r="A65" s="5"/>
      <c r="B65" s="5"/>
      <c r="C65" s="5"/>
      <c r="D65" s="5"/>
      <c r="E65" s="5"/>
      <c r="F65" s="5"/>
      <c r="G65" s="118"/>
      <c r="H65" s="117"/>
      <c r="I65" s="118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118"/>
      <c r="Y65" s="117"/>
      <c r="Z65" s="118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3.5" customHeight="1" thickBot="1" x14ac:dyDescent="0.25">
      <c r="A66" s="5" t="s">
        <v>2337</v>
      </c>
      <c r="B66" s="5"/>
      <c r="C66" s="5"/>
      <c r="D66" s="5"/>
      <c r="E66" s="5"/>
      <c r="F66" s="5"/>
      <c r="G66" s="724" t="s">
        <v>1133</v>
      </c>
      <c r="H66" s="744">
        <f>B24*B25/1000</f>
        <v>1171.4531913240603</v>
      </c>
      <c r="I66" s="118" t="s">
        <v>360</v>
      </c>
      <c r="J66" s="5"/>
      <c r="K66" s="5"/>
      <c r="L66" s="5"/>
      <c r="M66" s="5"/>
      <c r="N66" s="5"/>
      <c r="O66" s="5"/>
      <c r="P66" s="5"/>
      <c r="Q66" s="5"/>
      <c r="R66" s="5" t="s">
        <v>2337</v>
      </c>
      <c r="S66" s="5"/>
      <c r="T66" s="5"/>
      <c r="U66" s="5"/>
      <c r="V66" s="5"/>
      <c r="W66" s="5"/>
      <c r="X66" s="724" t="s">
        <v>1133</v>
      </c>
      <c r="Y66" s="743">
        <f>H66*2.205*1000</f>
        <v>2583054.2868695529</v>
      </c>
      <c r="Z66" s="118" t="s">
        <v>821</v>
      </c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3.5" customHeight="1" thickBot="1" x14ac:dyDescent="0.25">
      <c r="A67" s="5"/>
      <c r="B67" s="5"/>
      <c r="C67" s="5"/>
      <c r="D67" s="5"/>
      <c r="E67" s="5"/>
      <c r="F67" s="5"/>
      <c r="G67" s="117" t="s">
        <v>2338</v>
      </c>
      <c r="H67" s="117"/>
      <c r="I67" s="118"/>
      <c r="J67" s="5"/>
      <c r="K67" s="14"/>
      <c r="L67" s="14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117" t="s">
        <v>2338</v>
      </c>
      <c r="Y67" s="117"/>
      <c r="Z67" s="118"/>
      <c r="AA67" s="5"/>
      <c r="AB67" s="14"/>
      <c r="AC67" s="14"/>
      <c r="AD67" s="5"/>
      <c r="AE67" s="5"/>
      <c r="AF67" s="5"/>
      <c r="AG67" s="5"/>
      <c r="AH67" s="5"/>
      <c r="AI67" s="5"/>
    </row>
    <row r="68" spans="1:35" ht="13.5" customHeight="1" thickBot="1" x14ac:dyDescent="0.25">
      <c r="A68" s="5" t="s">
        <v>2339</v>
      </c>
      <c r="B68" s="5"/>
      <c r="C68" s="5"/>
      <c r="D68" s="5"/>
      <c r="E68" s="5"/>
      <c r="F68" s="5"/>
      <c r="G68" s="724" t="s">
        <v>1134</v>
      </c>
      <c r="H68" s="744">
        <f>B24*B26/1000</f>
        <v>1449.8183060941342</v>
      </c>
      <c r="I68" s="118" t="s">
        <v>360</v>
      </c>
      <c r="J68" s="5"/>
      <c r="K68" s="5"/>
      <c r="L68" s="5"/>
      <c r="M68" s="5"/>
      <c r="N68" s="5"/>
      <c r="O68" s="5"/>
      <c r="P68" s="5"/>
      <c r="Q68" s="5"/>
      <c r="R68" s="5" t="s">
        <v>2339</v>
      </c>
      <c r="S68" s="5"/>
      <c r="T68" s="5"/>
      <c r="U68" s="5"/>
      <c r="V68" s="5"/>
      <c r="W68" s="5"/>
      <c r="X68" s="724" t="s">
        <v>1134</v>
      </c>
      <c r="Y68" s="743">
        <f>H68*2.205*1000</f>
        <v>3196849.3649375658</v>
      </c>
      <c r="Z68" s="118" t="s">
        <v>821</v>
      </c>
      <c r="AA68" s="5"/>
      <c r="AB68" s="5"/>
      <c r="AC68" s="5"/>
      <c r="AD68" s="5"/>
      <c r="AE68" s="5"/>
      <c r="AF68" s="5"/>
      <c r="AG68" s="5"/>
      <c r="AH68" s="5"/>
      <c r="AI68" s="5"/>
    </row>
    <row r="69" spans="1:35" x14ac:dyDescent="0.2">
      <c r="A69" s="5"/>
      <c r="B69" s="5"/>
      <c r="C69" s="5"/>
      <c r="D69" s="5"/>
      <c r="E69" s="5"/>
      <c r="F69" s="5"/>
      <c r="G69" s="117" t="s">
        <v>2340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117" t="s">
        <v>2340</v>
      </c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 x14ac:dyDescent="0.25">
      <c r="A71" s="1072" t="s">
        <v>2341</v>
      </c>
      <c r="B71" s="809"/>
      <c r="C71" s="809"/>
      <c r="D71" s="809"/>
      <c r="E71" s="809"/>
      <c r="F71" s="809"/>
      <c r="G71" s="809"/>
      <c r="H71" s="809"/>
      <c r="I71" s="5"/>
      <c r="J71" s="226"/>
      <c r="K71" s="417"/>
      <c r="L71" s="417"/>
      <c r="M71" s="5"/>
      <c r="N71" s="5"/>
      <c r="O71" s="5"/>
      <c r="P71" s="5"/>
      <c r="Q71" s="5"/>
      <c r="R71" s="1072" t="s">
        <v>2341</v>
      </c>
      <c r="S71" s="809"/>
      <c r="T71" s="809"/>
      <c r="U71" s="809"/>
      <c r="V71" s="809"/>
      <c r="W71" s="809"/>
      <c r="X71" s="809"/>
      <c r="Y71" s="809"/>
      <c r="Z71" s="5"/>
      <c r="AA71" s="226"/>
      <c r="AB71" s="417"/>
      <c r="AC71" s="417"/>
      <c r="AD71" s="5"/>
      <c r="AE71" s="5"/>
      <c r="AF71" s="5"/>
      <c r="AG71" s="5"/>
      <c r="AH71" s="5"/>
      <c r="AI71" s="5"/>
    </row>
    <row r="72" spans="1:35" x14ac:dyDescent="0.2">
      <c r="A72" s="5"/>
      <c r="B72" s="5"/>
      <c r="C72" s="5"/>
      <c r="D72" s="5"/>
      <c r="E72" s="5"/>
      <c r="F72" s="5"/>
      <c r="G72" s="5"/>
      <c r="H72" s="5"/>
      <c r="I72" s="5"/>
      <c r="J72" s="226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226"/>
      <c r="AB72" s="5"/>
      <c r="AC72" s="5"/>
      <c r="AD72" s="5"/>
      <c r="AE72" s="5"/>
      <c r="AF72" s="5"/>
      <c r="AG72" s="5"/>
      <c r="AH72" s="5"/>
      <c r="AI72" s="5"/>
    </row>
    <row r="73" spans="1:35" x14ac:dyDescent="0.2">
      <c r="A73" s="5"/>
      <c r="B73" s="5"/>
      <c r="C73" s="1069" t="s">
        <v>114</v>
      </c>
      <c r="D73" s="809"/>
      <c r="E73" s="809"/>
      <c r="F73" s="809"/>
      <c r="G73" s="809"/>
      <c r="H73" s="118"/>
      <c r="I73" s="5"/>
      <c r="J73" s="226"/>
      <c r="K73" s="65"/>
      <c r="L73" s="5"/>
      <c r="M73" s="5"/>
      <c r="N73" s="5"/>
      <c r="O73" s="5"/>
      <c r="P73" s="5"/>
      <c r="Q73" s="5"/>
      <c r="R73" s="101"/>
      <c r="S73" s="101"/>
      <c r="T73" s="1080" t="s">
        <v>2342</v>
      </c>
      <c r="U73" s="812"/>
      <c r="V73" s="812"/>
      <c r="W73" s="812"/>
      <c r="X73" s="812"/>
      <c r="Y73" s="813"/>
      <c r="Z73" s="5"/>
      <c r="AA73" s="226"/>
      <c r="AB73" s="65"/>
      <c r="AC73" s="5"/>
      <c r="AD73" s="5"/>
      <c r="AE73" s="5"/>
      <c r="AF73" s="5"/>
      <c r="AG73" s="5"/>
      <c r="AH73" s="5"/>
      <c r="AI73" s="5"/>
    </row>
    <row r="74" spans="1:35" ht="15" customHeight="1" x14ac:dyDescent="0.2">
      <c r="A74" s="118" t="s">
        <v>2343</v>
      </c>
      <c r="B74" s="118"/>
      <c r="C74" s="65" t="s">
        <v>2272</v>
      </c>
      <c r="D74" s="65" t="s">
        <v>2344</v>
      </c>
      <c r="E74" s="65" t="s">
        <v>2268</v>
      </c>
      <c r="F74" s="65" t="s">
        <v>2287</v>
      </c>
      <c r="G74" s="65" t="s">
        <v>2300</v>
      </c>
      <c r="H74" s="65" t="s">
        <v>2345</v>
      </c>
      <c r="I74" s="5"/>
      <c r="J74" s="5"/>
      <c r="K74" s="418"/>
      <c r="L74" s="226"/>
      <c r="M74" s="226"/>
      <c r="N74" s="745"/>
      <c r="O74" s="5"/>
      <c r="P74" s="5"/>
      <c r="Q74" s="5"/>
      <c r="R74" s="1080" t="s">
        <v>2343</v>
      </c>
      <c r="S74" s="813"/>
      <c r="T74" s="746" t="s">
        <v>2272</v>
      </c>
      <c r="U74" s="746" t="s">
        <v>2344</v>
      </c>
      <c r="V74" s="746" t="s">
        <v>2268</v>
      </c>
      <c r="W74" s="746" t="s">
        <v>2287</v>
      </c>
      <c r="X74" s="746" t="s">
        <v>2300</v>
      </c>
      <c r="Y74" s="746" t="s">
        <v>2345</v>
      </c>
      <c r="Z74" s="5"/>
      <c r="AA74" s="5"/>
      <c r="AB74" s="418"/>
      <c r="AC74" s="226"/>
      <c r="AD74" s="226"/>
      <c r="AE74" s="745"/>
      <c r="AF74" s="5"/>
      <c r="AG74" s="5"/>
      <c r="AH74" s="5"/>
      <c r="AI74" s="5"/>
    </row>
    <row r="75" spans="1:35" ht="34.700000000000003" customHeight="1" x14ac:dyDescent="0.2">
      <c r="A75" s="925" t="s">
        <v>2346</v>
      </c>
      <c r="B75" s="809"/>
      <c r="C75" s="747">
        <f>H46</f>
        <v>84.989294994331019</v>
      </c>
      <c r="D75" s="747">
        <f>H61</f>
        <v>97.539346434751693</v>
      </c>
      <c r="E75" s="747">
        <f>H41+H52</f>
        <v>117.93338600952444</v>
      </c>
      <c r="F75" s="747">
        <f>H44+H49+H64+H66</f>
        <v>1434.5036391598987</v>
      </c>
      <c r="G75" s="264">
        <v>0</v>
      </c>
      <c r="H75" s="5">
        <f>G75/'Main Dimensions Calcs'!$D$61</f>
        <v>0</v>
      </c>
      <c r="I75" s="5"/>
      <c r="J75" s="5"/>
      <c r="K75" s="418"/>
      <c r="L75" s="226"/>
      <c r="M75" s="5">
        <f>F76/B11</f>
        <v>5.8346624863082788</v>
      </c>
      <c r="N75" s="745">
        <f>M75*3</f>
        <v>17.503987458924836</v>
      </c>
      <c r="O75" s="5"/>
      <c r="P75" s="5"/>
      <c r="Q75" s="5"/>
      <c r="R75" s="1079" t="s">
        <v>2346</v>
      </c>
      <c r="S75" s="813"/>
      <c r="T75" s="748">
        <f t="shared" ref="T75:Y77" si="1">C75*2.205*1000</f>
        <v>187401.3954624999</v>
      </c>
      <c r="U75" s="748">
        <f t="shared" si="1"/>
        <v>215074.25888862749</v>
      </c>
      <c r="V75" s="748">
        <f t="shared" si="1"/>
        <v>260043.11615100142</v>
      </c>
      <c r="W75" s="748">
        <f t="shared" si="1"/>
        <v>3163080.5243475772</v>
      </c>
      <c r="X75" s="748">
        <f t="shared" si="1"/>
        <v>0</v>
      </c>
      <c r="Y75" s="748">
        <f t="shared" si="1"/>
        <v>0</v>
      </c>
      <c r="Z75" s="5"/>
      <c r="AA75" s="5"/>
      <c r="AB75" s="418"/>
      <c r="AC75" s="226"/>
      <c r="AD75" s="5">
        <f>W76/S11</f>
        <v>1195.2276832320472</v>
      </c>
      <c r="AE75" s="745">
        <f>AD75*3</f>
        <v>3585.6830496961416</v>
      </c>
      <c r="AF75" s="5"/>
      <c r="AG75" s="5"/>
      <c r="AH75" s="5"/>
      <c r="AI75" s="5"/>
    </row>
    <row r="76" spans="1:35" ht="33" customHeight="1" x14ac:dyDescent="0.2">
      <c r="A76" s="925" t="s">
        <v>2347</v>
      </c>
      <c r="B76" s="809"/>
      <c r="C76" s="747">
        <f>H46</f>
        <v>84.989294994331019</v>
      </c>
      <c r="D76" s="747">
        <f>H61</f>
        <v>97.539346434751693</v>
      </c>
      <c r="E76" s="264">
        <f>IF((H41+H52-H34)&lt;0,0,H41+H52-H34)</f>
        <v>0</v>
      </c>
      <c r="F76" s="747">
        <f>H44+H49+H64+H66+H34</f>
        <v>1944.6437890874618</v>
      </c>
      <c r="G76" s="749">
        <f>ABS(IF((H41+H52-H34)&gt;0,0,H41+H52-H34))</f>
        <v>392.20676391803858</v>
      </c>
      <c r="H76" s="265">
        <f>G76/'Main Dimensions Calcs'!$D$61</f>
        <v>6.5367793986339766</v>
      </c>
      <c r="I76" s="5"/>
      <c r="J76" s="5"/>
      <c r="K76" s="925"/>
      <c r="L76" s="809"/>
      <c r="M76" s="14"/>
      <c r="N76" s="14"/>
      <c r="O76" s="14"/>
      <c r="P76" s="14"/>
      <c r="Q76" s="5"/>
      <c r="R76" s="1079" t="s">
        <v>2347</v>
      </c>
      <c r="S76" s="813"/>
      <c r="T76" s="748">
        <f t="shared" si="1"/>
        <v>187401.3954624999</v>
      </c>
      <c r="U76" s="748">
        <f t="shared" si="1"/>
        <v>215074.25888862749</v>
      </c>
      <c r="V76" s="748">
        <f t="shared" si="1"/>
        <v>0</v>
      </c>
      <c r="W76" s="748">
        <f t="shared" si="1"/>
        <v>4287939.5549378535</v>
      </c>
      <c r="X76" s="748">
        <f t="shared" si="1"/>
        <v>864815.91443927505</v>
      </c>
      <c r="Y76" s="748">
        <f t="shared" si="1"/>
        <v>14413.59857398792</v>
      </c>
      <c r="Z76" s="5"/>
      <c r="AA76" s="5"/>
      <c r="AB76" s="925"/>
      <c r="AC76" s="809"/>
      <c r="AD76" s="14"/>
      <c r="AE76" s="14"/>
      <c r="AF76" s="14"/>
      <c r="AG76" s="14"/>
      <c r="AH76" s="5"/>
      <c r="AI76" s="5"/>
    </row>
    <row r="77" spans="1:35" ht="38.25" customHeight="1" x14ac:dyDescent="0.2">
      <c r="A77" s="925" t="s">
        <v>2348</v>
      </c>
      <c r="B77" s="809"/>
      <c r="C77" s="747">
        <f>H46</f>
        <v>84.989294994331019</v>
      </c>
      <c r="D77" s="747">
        <f>B22/1000</f>
        <v>18.798988846186564</v>
      </c>
      <c r="E77" s="264">
        <f>IF(H41-H38&lt;0,0,H41-H38)</f>
        <v>0</v>
      </c>
      <c r="F77" s="747">
        <f>H44+H49+H64+H68+H38</f>
        <v>2350.5439413394265</v>
      </c>
      <c r="G77" s="749">
        <f>ABS(IF(H41-H38&gt;0,0,H41-H38))</f>
        <v>562.34312918957357</v>
      </c>
      <c r="H77" s="265">
        <f>G77/'Main Dimensions Calcs'!$D$61</f>
        <v>9.3723854864928935</v>
      </c>
      <c r="I77" s="5"/>
      <c r="J77" s="14"/>
      <c r="K77" s="14"/>
      <c r="L77" s="5">
        <f>E75/(13.5*PI()*0.05)</f>
        <v>55.613870634015967</v>
      </c>
      <c r="M77" s="5"/>
      <c r="N77" s="5"/>
      <c r="O77" s="5"/>
      <c r="P77" s="5"/>
      <c r="Q77" s="5"/>
      <c r="R77" s="1079" t="s">
        <v>2348</v>
      </c>
      <c r="S77" s="813"/>
      <c r="T77" s="748">
        <f t="shared" si="1"/>
        <v>187401.3954624999</v>
      </c>
      <c r="U77" s="748">
        <f t="shared" si="1"/>
        <v>41451.770405841373</v>
      </c>
      <c r="V77" s="748">
        <f t="shared" si="1"/>
        <v>0</v>
      </c>
      <c r="W77" s="748">
        <f t="shared" si="1"/>
        <v>5182949.3906534351</v>
      </c>
      <c r="X77" s="748">
        <f t="shared" si="1"/>
        <v>1239966.5998630098</v>
      </c>
      <c r="Y77" s="748">
        <f t="shared" si="1"/>
        <v>20666.109997716831</v>
      </c>
      <c r="Z77" s="5"/>
      <c r="AA77" s="14"/>
      <c r="AB77" s="14"/>
      <c r="AC77" s="5">
        <f>V75/(13.5*PI()*0.05)</f>
        <v>122628.58474800522</v>
      </c>
      <c r="AD77" s="5"/>
      <c r="AE77" s="5"/>
      <c r="AF77" s="5"/>
      <c r="AG77" s="5"/>
      <c r="AH77" s="5"/>
      <c r="AI77" s="5"/>
    </row>
    <row r="78" spans="1:35" ht="34.35" customHeight="1" x14ac:dyDescent="0.2">
      <c r="A78" s="925" t="s">
        <v>2349</v>
      </c>
      <c r="B78" s="809"/>
      <c r="C78" s="417">
        <f>B27/1000</f>
        <v>10.497584413921222</v>
      </c>
      <c r="D78" s="14" t="s">
        <v>132</v>
      </c>
      <c r="E78" s="14" t="s">
        <v>132</v>
      </c>
      <c r="F78" s="14" t="s">
        <v>132</v>
      </c>
      <c r="G78" s="14" t="s">
        <v>132</v>
      </c>
      <c r="H78" s="14" t="s">
        <v>132</v>
      </c>
      <c r="I78" s="5"/>
      <c r="J78" s="14"/>
      <c r="K78" s="14"/>
      <c r="L78" s="5"/>
      <c r="M78" s="5"/>
      <c r="N78" s="5"/>
      <c r="O78" s="750"/>
      <c r="P78" s="5"/>
      <c r="Q78" s="5"/>
      <c r="R78" s="1079" t="s">
        <v>2349</v>
      </c>
      <c r="S78" s="813"/>
      <c r="T78" s="748">
        <f>C78*2.205*1000</f>
        <v>23147.173632696296</v>
      </c>
      <c r="U78" s="751" t="s">
        <v>132</v>
      </c>
      <c r="V78" s="751" t="s">
        <v>132</v>
      </c>
      <c r="W78" s="751" t="s">
        <v>132</v>
      </c>
      <c r="X78" s="751" t="s">
        <v>132</v>
      </c>
      <c r="Y78" s="751" t="s">
        <v>132</v>
      </c>
      <c r="Z78" s="5"/>
      <c r="AA78" s="14"/>
      <c r="AB78" s="14"/>
      <c r="AC78" s="5"/>
      <c r="AD78" s="5"/>
      <c r="AE78" s="5"/>
      <c r="AF78" s="750"/>
      <c r="AG78" s="5"/>
      <c r="AH78" s="5"/>
      <c r="AI78" s="5"/>
    </row>
    <row r="79" spans="1:35" ht="36" customHeight="1" x14ac:dyDescent="0.2">
      <c r="A79" s="925" t="s">
        <v>2237</v>
      </c>
      <c r="B79" s="809"/>
      <c r="C79" s="417">
        <f>'Earthquake API 650 Outer Tank'!S107/1000/9.8</f>
        <v>2.9789576546186796</v>
      </c>
      <c r="D79" s="417">
        <f>D76*'Earthquake API 650 Inner Tank'!B9</f>
        <v>48.196792122649065</v>
      </c>
      <c r="E79" s="417">
        <f>E75*'Earthquake API 650 Inner Tank'!B9</f>
        <v>58.274030917599603</v>
      </c>
      <c r="F79" s="417">
        <f>F76*'Earthquake API 650 Inner Tank'!B9</f>
        <v>960.90035335582377</v>
      </c>
      <c r="G79" s="14">
        <f>H79*'Main Dimensions Calcs'!D61</f>
        <v>30.68693098740582</v>
      </c>
      <c r="H79" s="417">
        <f>B18/1000</f>
        <v>0.51144884979009697</v>
      </c>
      <c r="I79" s="5"/>
      <c r="J79" s="14"/>
      <c r="K79" s="14"/>
      <c r="L79" s="5"/>
      <c r="M79" s="5"/>
      <c r="N79" s="5"/>
      <c r="O79" s="750"/>
      <c r="P79" s="5"/>
      <c r="Q79" s="5"/>
      <c r="R79" s="1079" t="s">
        <v>2237</v>
      </c>
      <c r="S79" s="813"/>
      <c r="T79" s="748">
        <f>C79*2.205*1000</f>
        <v>6568.6016284341886</v>
      </c>
      <c r="U79" s="748">
        <f>D79*2.205*1000</f>
        <v>106273.9266304412</v>
      </c>
      <c r="V79" s="748">
        <f>E79*2.205*1000</f>
        <v>128494.23817330714</v>
      </c>
      <c r="W79" s="748">
        <f>F79*2.205*1000</f>
        <v>2118785.2791495915</v>
      </c>
      <c r="X79" s="748">
        <f>G79*2.205*1000</f>
        <v>67664.682827229844</v>
      </c>
      <c r="Y79" s="748">
        <f>H79*2.205*1000</f>
        <v>1127.7447137871638</v>
      </c>
      <c r="Z79" s="5"/>
      <c r="AA79" s="14"/>
      <c r="AB79" s="14"/>
      <c r="AC79" s="5"/>
      <c r="AD79" s="5"/>
      <c r="AE79" s="5"/>
      <c r="AF79" s="750"/>
      <c r="AG79" s="5"/>
      <c r="AH79" s="5"/>
      <c r="AI79" s="5"/>
    </row>
    <row r="80" spans="1:35" ht="28.5" customHeight="1" x14ac:dyDescent="0.2">
      <c r="A80" s="211"/>
      <c r="B80" s="211"/>
      <c r="C80" s="417"/>
      <c r="D80" s="417"/>
      <c r="E80" s="417"/>
      <c r="F80" s="417">
        <f>H44+H49+H64+B19+H34</f>
        <v>2779.7786090157415</v>
      </c>
      <c r="G80" s="14">
        <f>'Inner Tank Anchors'!B127/(9.8*1000)</f>
        <v>1913.6226300314897</v>
      </c>
      <c r="H80" s="265">
        <f>G80/'Main Dimensions Calcs'!$D$61</f>
        <v>31.893710500524829</v>
      </c>
      <c r="I80" s="5"/>
      <c r="J80" s="14"/>
      <c r="K80" s="14"/>
      <c r="L80" s="5"/>
      <c r="M80" s="5"/>
      <c r="N80" s="5"/>
      <c r="O80" s="750"/>
      <c r="P80" s="5"/>
      <c r="Q80" s="5"/>
      <c r="R80" s="1079" t="s">
        <v>2275</v>
      </c>
      <c r="S80" s="813"/>
      <c r="T80" s="748">
        <f>T76</f>
        <v>187401.3954624999</v>
      </c>
      <c r="U80" s="748">
        <f>U76</f>
        <v>215074.25888862749</v>
      </c>
      <c r="V80" s="748">
        <v>0</v>
      </c>
      <c r="W80" s="748">
        <f>F80*2.205*1000</f>
        <v>6129411.83287971</v>
      </c>
      <c r="X80" s="748">
        <f>G80*2.205*1000</f>
        <v>4219537.8992194347</v>
      </c>
      <c r="Y80" s="748">
        <f>H80*2.205*1000</f>
        <v>70325.631653657256</v>
      </c>
      <c r="Z80" s="5"/>
      <c r="AA80" s="14"/>
      <c r="AB80" s="14"/>
      <c r="AC80" s="5"/>
      <c r="AD80" s="5"/>
      <c r="AE80" s="5"/>
      <c r="AF80" s="750"/>
      <c r="AG80" s="5"/>
      <c r="AH80" s="5"/>
      <c r="AI80" s="5"/>
    </row>
    <row r="81" spans="1:35" ht="18" customHeight="1" x14ac:dyDescent="0.2">
      <c r="A81" s="1069"/>
      <c r="B81" s="809"/>
      <c r="C81" s="570"/>
      <c r="D81" s="265"/>
      <c r="E81" s="265"/>
      <c r="F81" s="265"/>
      <c r="G81" s="265"/>
      <c r="H81" s="749"/>
      <c r="I81" s="5"/>
      <c r="J81" s="14"/>
      <c r="K81" s="14"/>
      <c r="L81" s="5"/>
      <c r="M81" s="5"/>
      <c r="N81" s="5"/>
      <c r="O81" s="5"/>
      <c r="P81" s="5"/>
      <c r="Q81" s="5"/>
      <c r="R81" s="1069"/>
      <c r="S81" s="809"/>
      <c r="T81" s="265"/>
      <c r="U81" s="265"/>
      <c r="V81" s="265"/>
      <c r="W81" s="265"/>
      <c r="X81" s="265"/>
      <c r="Y81" s="417"/>
      <c r="Z81" s="5"/>
      <c r="AA81" s="14"/>
      <c r="AB81" s="14"/>
      <c r="AC81" s="5"/>
      <c r="AD81" s="5"/>
      <c r="AE81" s="5"/>
      <c r="AF81" s="5"/>
      <c r="AG81" s="5"/>
      <c r="AH81" s="5"/>
      <c r="AI81" s="5"/>
    </row>
    <row r="82" spans="1:35" ht="30" customHeight="1" x14ac:dyDescent="0.2">
      <c r="A82" s="5"/>
      <c r="B82" s="5"/>
      <c r="C82" s="998" t="s">
        <v>2350</v>
      </c>
      <c r="D82" s="809"/>
      <c r="E82" s="925" t="s">
        <v>2351</v>
      </c>
      <c r="F82" s="5"/>
      <c r="G82" s="5"/>
      <c r="H82" s="5"/>
      <c r="I82" s="5"/>
      <c r="J82" s="14"/>
      <c r="K82" s="5"/>
      <c r="L82" s="5"/>
      <c r="M82" s="5"/>
      <c r="N82" s="5"/>
      <c r="O82" s="5"/>
      <c r="P82" s="5"/>
      <c r="Q82" s="5"/>
      <c r="R82" s="5"/>
      <c r="S82" s="5"/>
      <c r="T82" s="1079" t="s">
        <v>2352</v>
      </c>
      <c r="U82" s="916"/>
      <c r="V82" s="1079" t="s">
        <v>2353</v>
      </c>
      <c r="W82" s="5"/>
      <c r="X82" s="5"/>
      <c r="Y82" s="5"/>
      <c r="Z82" s="5"/>
      <c r="AA82" s="14"/>
      <c r="AB82" s="5"/>
      <c r="AC82" s="5"/>
      <c r="AD82" s="5"/>
      <c r="AE82" s="5"/>
      <c r="AF82" s="5"/>
      <c r="AG82" s="5"/>
      <c r="AH82" s="5"/>
      <c r="AI82" s="5"/>
    </row>
    <row r="83" spans="1:35" ht="11.25" customHeight="1" x14ac:dyDescent="0.2">
      <c r="A83" s="5"/>
      <c r="B83" s="5"/>
      <c r="C83" s="809"/>
      <c r="D83" s="809"/>
      <c r="E83" s="809"/>
      <c r="F83" s="65" t="s">
        <v>2354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904"/>
      <c r="U83" s="917"/>
      <c r="V83" s="906"/>
      <c r="W83" s="6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ht="23.45" customHeight="1" x14ac:dyDescent="0.2">
      <c r="A84" s="925" t="s">
        <v>2355</v>
      </c>
      <c r="B84" s="809"/>
      <c r="C84" s="1075">
        <f>+S109</f>
        <v>72.641452278209812</v>
      </c>
      <c r="D84" s="809"/>
      <c r="E84" s="752">
        <f>+S110</f>
        <v>466.29365575274227</v>
      </c>
      <c r="F84" s="265"/>
      <c r="G84" s="265"/>
      <c r="H84" s="5"/>
      <c r="I84" s="5"/>
      <c r="J84" s="5"/>
      <c r="K84" s="5"/>
      <c r="L84" s="5"/>
      <c r="M84" s="5"/>
      <c r="N84" s="5"/>
      <c r="O84" s="5"/>
      <c r="P84" s="5"/>
      <c r="Q84" s="5"/>
      <c r="R84" s="1081" t="s">
        <v>2356</v>
      </c>
      <c r="S84" s="813"/>
      <c r="T84" s="1082">
        <f>C84*2.205*1000</f>
        <v>160174.40227345264</v>
      </c>
      <c r="U84" s="813"/>
      <c r="V84" s="753">
        <f>E84*2.205*1000*3.281</f>
        <v>3373450.4133770689</v>
      </c>
      <c r="W84" s="265"/>
      <c r="X84" s="26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31.5" customHeight="1" x14ac:dyDescent="0.2">
      <c r="A85" s="925" t="s">
        <v>2357</v>
      </c>
      <c r="B85" s="809"/>
      <c r="C85" s="1075">
        <f>+H109</f>
        <v>111.81121873439299</v>
      </c>
      <c r="D85" s="809"/>
      <c r="E85" s="752">
        <f>+H110</f>
        <v>768.30914113471226</v>
      </c>
      <c r="F85" s="265"/>
      <c r="G85" s="265"/>
      <c r="H85" s="5"/>
      <c r="I85" s="5"/>
      <c r="J85" s="5"/>
      <c r="K85" s="5"/>
      <c r="L85" s="5"/>
      <c r="M85" s="5"/>
      <c r="N85" s="5"/>
      <c r="O85" s="5"/>
      <c r="P85" s="5"/>
      <c r="Q85" s="5"/>
      <c r="R85" s="1081" t="s">
        <v>2357</v>
      </c>
      <c r="S85" s="813"/>
      <c r="T85" s="1082">
        <f>C85*2.205*1000</f>
        <v>246543.73730933657</v>
      </c>
      <c r="U85" s="813"/>
      <c r="V85" s="753">
        <f>E85*2.205*1000*3.281</f>
        <v>5558413.1539988955</v>
      </c>
      <c r="W85" s="265"/>
      <c r="X85" s="26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30.75" customHeight="1" x14ac:dyDescent="0.2">
      <c r="A86" s="925" t="s">
        <v>2358</v>
      </c>
      <c r="B86" s="809"/>
      <c r="C86" s="1075">
        <f>+M109</f>
        <v>81.885733200951194</v>
      </c>
      <c r="D86" s="809"/>
      <c r="E86" s="752">
        <f>+M110</f>
        <v>629.8112176451524</v>
      </c>
      <c r="F86" s="265"/>
      <c r="G86" s="265"/>
      <c r="H86" s="5"/>
      <c r="I86" s="5"/>
      <c r="J86" s="5"/>
      <c r="K86" s="5"/>
      <c r="L86" s="5"/>
      <c r="M86" s="5"/>
      <c r="N86" s="5"/>
      <c r="O86" s="5"/>
      <c r="P86" s="5"/>
      <c r="Q86" s="5"/>
      <c r="R86" s="1081" t="s">
        <v>2358</v>
      </c>
      <c r="S86" s="813"/>
      <c r="T86" s="1082">
        <f>C86*2.205*1000</f>
        <v>180558.04170809739</v>
      </c>
      <c r="U86" s="813"/>
      <c r="V86" s="753">
        <f>E86*2.205*1000*3.281</f>
        <v>4556435.384231708</v>
      </c>
      <c r="W86" s="265"/>
      <c r="X86" s="26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22.5" customHeight="1" x14ac:dyDescent="0.2">
      <c r="A87" s="5"/>
      <c r="B87" s="925" t="s">
        <v>2359</v>
      </c>
      <c r="C87" s="809"/>
      <c r="D87" s="5"/>
      <c r="E87" s="925" t="s">
        <v>2360</v>
      </c>
      <c r="F87" s="809"/>
      <c r="G87" s="925" t="s">
        <v>2361</v>
      </c>
      <c r="H87" s="809"/>
      <c r="I87" s="809"/>
      <c r="J87" s="5"/>
      <c r="K87" s="5"/>
      <c r="L87" s="5"/>
      <c r="M87" s="5"/>
      <c r="N87" s="5"/>
      <c r="O87" s="5"/>
      <c r="P87" s="5"/>
      <c r="Q87" s="5"/>
      <c r="R87" s="5"/>
      <c r="S87" s="925" t="s">
        <v>2359</v>
      </c>
      <c r="T87" s="809"/>
      <c r="U87" s="5"/>
      <c r="V87" s="925" t="s">
        <v>2360</v>
      </c>
      <c r="W87" s="809"/>
      <c r="X87" s="925" t="s">
        <v>2361</v>
      </c>
      <c r="Y87" s="809"/>
      <c r="Z87" s="809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21" customHeight="1" x14ac:dyDescent="0.2">
      <c r="A88" s="5"/>
      <c r="B88" s="809"/>
      <c r="C88" s="809"/>
      <c r="D88" s="5"/>
      <c r="E88" s="809"/>
      <c r="F88" s="809"/>
      <c r="G88" s="809"/>
      <c r="H88" s="809"/>
      <c r="I88" s="809"/>
      <c r="J88" s="5"/>
      <c r="K88" s="5"/>
      <c r="L88" s="5"/>
      <c r="M88" s="5"/>
      <c r="N88" s="5"/>
      <c r="O88" s="5"/>
      <c r="P88" s="5"/>
      <c r="Q88" s="5"/>
      <c r="R88" s="5"/>
      <c r="S88" s="809"/>
      <c r="T88" s="809"/>
      <c r="U88" s="5"/>
      <c r="V88" s="809"/>
      <c r="W88" s="809"/>
      <c r="X88" s="809"/>
      <c r="Y88" s="809"/>
      <c r="Z88" s="809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8.75" customHeight="1" x14ac:dyDescent="0.2">
      <c r="A89" s="5"/>
      <c r="B89" s="5" t="s">
        <v>2362</v>
      </c>
      <c r="C89" s="5"/>
      <c r="D89" s="5"/>
      <c r="E89" s="5" t="s">
        <v>2362</v>
      </c>
      <c r="F89" s="5"/>
      <c r="G89" s="5" t="s">
        <v>2362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 t="s">
        <v>2362</v>
      </c>
      <c r="T89" s="5"/>
      <c r="U89" s="5"/>
      <c r="V89" s="5" t="s">
        <v>2362</v>
      </c>
      <c r="W89" s="5"/>
      <c r="X89" s="5" t="s">
        <v>2362</v>
      </c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ht="15.75" customHeight="1" x14ac:dyDescent="0.2">
      <c r="A90" s="5"/>
      <c r="B90" s="5" t="s">
        <v>2363</v>
      </c>
      <c r="C90" s="5"/>
      <c r="D90" s="5"/>
      <c r="E90" s="5" t="s">
        <v>2363</v>
      </c>
      <c r="F90" s="5"/>
      <c r="G90" s="5" t="s">
        <v>2364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 t="s">
        <v>2363</v>
      </c>
      <c r="T90" s="5"/>
      <c r="U90" s="5"/>
      <c r="V90" s="5" t="s">
        <v>2363</v>
      </c>
      <c r="W90" s="5"/>
      <c r="X90" s="5" t="s">
        <v>2364</v>
      </c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ht="12.75" customHeight="1" x14ac:dyDescent="0.2">
      <c r="A91" s="5"/>
      <c r="B91" s="5" t="s">
        <v>2365</v>
      </c>
      <c r="C91" s="5"/>
      <c r="D91" s="5"/>
      <c r="E91" s="5" t="s">
        <v>2366</v>
      </c>
      <c r="F91" s="5"/>
      <c r="G91" s="266" t="s">
        <v>2367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 t="s">
        <v>2365</v>
      </c>
      <c r="T91" s="5"/>
      <c r="U91" s="5"/>
      <c r="V91" s="5" t="s">
        <v>2366</v>
      </c>
      <c r="W91" s="5"/>
      <c r="X91" s="695" t="s">
        <v>2367</v>
      </c>
      <c r="Y91" s="274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x14ac:dyDescent="0.2">
      <c r="A92" s="5"/>
      <c r="B92" s="5" t="s">
        <v>2368</v>
      </c>
      <c r="C92" s="5"/>
      <c r="D92" s="5"/>
      <c r="E92" s="5" t="s">
        <v>2369</v>
      </c>
      <c r="F92" s="5"/>
      <c r="G92" s="5" t="s">
        <v>2370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 t="s">
        <v>2368</v>
      </c>
      <c r="T92" s="5"/>
      <c r="U92" s="5"/>
      <c r="V92" s="64" t="s">
        <v>2369</v>
      </c>
      <c r="W92" s="5"/>
      <c r="X92" s="64" t="s">
        <v>2370</v>
      </c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x14ac:dyDescent="0.2">
      <c r="A93" s="5"/>
      <c r="B93" s="5" t="s">
        <v>2371</v>
      </c>
      <c r="C93" s="5"/>
      <c r="D93" s="5"/>
      <c r="E93" s="5" t="s">
        <v>2372</v>
      </c>
      <c r="F93" s="5"/>
      <c r="G93" s="5" t="s">
        <v>2373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 t="s">
        <v>2371</v>
      </c>
      <c r="T93" s="5"/>
      <c r="U93" s="5"/>
      <c r="V93" s="5" t="s">
        <v>2372</v>
      </c>
      <c r="W93" s="5"/>
      <c r="X93" s="695" t="s">
        <v>2374</v>
      </c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266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x14ac:dyDescent="0.2">
      <c r="A95" s="5"/>
      <c r="B95" s="5"/>
      <c r="C95" s="266" t="s">
        <v>2375</v>
      </c>
      <c r="D95" s="5"/>
      <c r="E95" s="5"/>
      <c r="F95" s="5"/>
      <c r="G95" s="5"/>
      <c r="H95" s="5"/>
      <c r="I95" s="5"/>
      <c r="J95" s="11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118"/>
      <c r="AB95" s="5"/>
      <c r="AC95" s="5"/>
      <c r="AD95" s="5"/>
      <c r="AE95" s="5"/>
      <c r="AF95" s="5"/>
      <c r="AG95" s="5"/>
      <c r="AH95" s="5"/>
      <c r="AI95" s="5"/>
    </row>
    <row r="96" spans="1:35" x14ac:dyDescent="0.2">
      <c r="A96" s="5"/>
      <c r="B96" s="5"/>
      <c r="C96" s="5"/>
      <c r="D96" s="5"/>
      <c r="E96" s="5"/>
      <c r="F96" s="5"/>
      <c r="G96" s="5"/>
      <c r="H96" s="5"/>
      <c r="I96" s="5"/>
      <c r="J96" s="11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118"/>
      <c r="AB96" s="5"/>
      <c r="AC96" s="5"/>
      <c r="AD96" s="5"/>
      <c r="AE96" s="5"/>
      <c r="AF96" s="5"/>
      <c r="AG96" s="5"/>
      <c r="AH96" s="5"/>
      <c r="AI96" s="5"/>
    </row>
    <row r="97" spans="1:35" ht="12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6.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22.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3.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24.75" customHeight="1" x14ac:dyDescent="0.2">
      <c r="A102" s="5"/>
      <c r="B102" s="5"/>
      <c r="C102" s="18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194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.75" customHeight="1" x14ac:dyDescent="0.25">
      <c r="A103" s="43"/>
      <c r="B103" s="43"/>
      <c r="C103" s="114"/>
      <c r="D103" s="5"/>
      <c r="E103" s="592" t="s">
        <v>2376</v>
      </c>
      <c r="F103" s="592" t="s">
        <v>2377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103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ht="15.75" customHeight="1" x14ac:dyDescent="0.25">
      <c r="A104" s="43"/>
      <c r="B104" s="43"/>
      <c r="C104" s="114"/>
      <c r="D104" s="5"/>
      <c r="E104" s="14"/>
      <c r="F104" s="592" t="s">
        <v>2378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103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x14ac:dyDescent="0.2">
      <c r="A105" s="5"/>
      <c r="B105" s="5"/>
      <c r="C105" s="11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03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2.75" customHeight="1" x14ac:dyDescent="0.2">
      <c r="A106" s="5"/>
      <c r="B106" s="5"/>
      <c r="C106" s="1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103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36.75" customHeight="1" x14ac:dyDescent="0.2">
      <c r="A107" s="5"/>
      <c r="B107" s="5"/>
      <c r="C107" s="114"/>
      <c r="D107" s="592" t="s">
        <v>2379</v>
      </c>
      <c r="E107" s="266"/>
      <c r="F107" s="266"/>
      <c r="G107" s="266"/>
      <c r="H107" s="266"/>
      <c r="I107" s="5"/>
      <c r="J107" s="5"/>
      <c r="K107" s="592" t="s">
        <v>2380</v>
      </c>
      <c r="L107" s="118"/>
      <c r="M107" s="118"/>
      <c r="N107" s="5"/>
      <c r="O107" s="592" t="s">
        <v>2381</v>
      </c>
      <c r="P107" s="118"/>
      <c r="Q107" s="5"/>
      <c r="R107" s="5"/>
      <c r="S107" s="103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x14ac:dyDescent="0.2">
      <c r="A108" s="5"/>
      <c r="B108" s="5"/>
      <c r="C108" s="114"/>
      <c r="D108" s="592"/>
      <c r="E108" s="592"/>
      <c r="F108" s="592" t="s">
        <v>2382</v>
      </c>
      <c r="G108" s="592" t="s">
        <v>2383</v>
      </c>
      <c r="H108" s="592" t="s">
        <v>2384</v>
      </c>
      <c r="I108" s="5"/>
      <c r="J108" s="5"/>
      <c r="K108" s="118"/>
      <c r="L108" s="118"/>
      <c r="M108" s="118"/>
      <c r="N108" s="5"/>
      <c r="O108" s="118"/>
      <c r="P108" s="118"/>
      <c r="Q108" s="5"/>
      <c r="R108" s="5"/>
      <c r="S108" s="103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2.75" customHeight="1" x14ac:dyDescent="0.2">
      <c r="A109" s="5"/>
      <c r="B109" s="5"/>
      <c r="C109" s="114"/>
      <c r="D109" s="592" t="s">
        <v>2385</v>
      </c>
      <c r="E109" s="592"/>
      <c r="F109" s="754">
        <f>+'Earthquake API 650 OLE'!B73/1000/9.8</f>
        <v>278.87180186489365</v>
      </c>
      <c r="G109" s="754">
        <f>+'Earthquake API 650 CLE'!B73/1000/9.8</f>
        <v>347.54100037542599</v>
      </c>
      <c r="H109" s="754">
        <f>+'Earthquake API 650 Inner Tank'!B73/1000/9.8</f>
        <v>111.81121873439299</v>
      </c>
      <c r="I109" s="5"/>
      <c r="J109" s="5"/>
      <c r="K109" s="592" t="s">
        <v>2385</v>
      </c>
      <c r="L109" s="592"/>
      <c r="M109" s="754">
        <f>+'Earthquake API 650 Outer Tank'!B70/1000/9.8</f>
        <v>81.885733200951194</v>
      </c>
      <c r="N109" s="5"/>
      <c r="O109" s="592" t="s">
        <v>2385</v>
      </c>
      <c r="P109" s="592"/>
      <c r="Q109" s="755">
        <f>+'Wind Forces'!F39/9.8</f>
        <v>44.898864699614009</v>
      </c>
      <c r="R109" s="5"/>
      <c r="S109" s="756">
        <f>+'Wind Forces'!F136/9.8</f>
        <v>72.641452278209812</v>
      </c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24" customHeight="1" x14ac:dyDescent="0.2">
      <c r="A110" s="5"/>
      <c r="B110" s="5"/>
      <c r="C110" s="114"/>
      <c r="D110" s="592" t="s">
        <v>2386</v>
      </c>
      <c r="E110" s="592"/>
      <c r="F110" s="757">
        <f>+'Earthquake API 650 OLE'!B102/1000/9.8</f>
        <v>1699.0059806206657</v>
      </c>
      <c r="G110" s="757">
        <f>+'Earthquake API 650 CLE'!B102/1000/9.8</f>
        <v>2560.5630220304174</v>
      </c>
      <c r="H110" s="757">
        <f>+'Earthquake API 650 Inner Tank'!B102/1000/9.8</f>
        <v>768.30914113471226</v>
      </c>
      <c r="I110" s="5"/>
      <c r="J110" s="5"/>
      <c r="K110" s="592" t="s">
        <v>2386</v>
      </c>
      <c r="L110" s="592"/>
      <c r="M110" s="754">
        <f>+'Earthquake API 650 Outer Tank'!B98/1000/9.8</f>
        <v>629.8112176451524</v>
      </c>
      <c r="N110" s="5"/>
      <c r="O110" s="592" t="s">
        <v>2386</v>
      </c>
      <c r="P110" s="592"/>
      <c r="Q110" s="755">
        <f>+'Wind Forces'!F42/9.8</f>
        <v>355.55916155344664</v>
      </c>
      <c r="R110" s="5"/>
      <c r="S110" s="756">
        <f>+'Wind Forces'!F144/9.8</f>
        <v>466.29365575274227</v>
      </c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x14ac:dyDescent="0.2">
      <c r="A111" s="5"/>
      <c r="B111" s="5"/>
      <c r="C111" s="183"/>
      <c r="D111" s="758"/>
      <c r="E111" s="758"/>
      <c r="F111" s="758"/>
      <c r="G111" s="758"/>
      <c r="H111" s="758"/>
      <c r="I111" s="26"/>
      <c r="J111" s="26"/>
      <c r="K111" s="759"/>
      <c r="L111" s="759"/>
      <c r="M111" s="759"/>
      <c r="N111" s="26"/>
      <c r="O111" s="26"/>
      <c r="P111" s="26"/>
      <c r="Q111" s="26"/>
      <c r="R111" s="26"/>
      <c r="S111" s="198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 t="s">
        <v>2387</v>
      </c>
      <c r="T115" s="5"/>
      <c r="U115" s="5"/>
      <c r="V115" s="265">
        <f>+'Wind Forces'!F136/9.8</f>
        <v>72.641452278209812</v>
      </c>
      <c r="W115" s="5" t="s">
        <v>1928</v>
      </c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>
        <f>+'Wind Forces'!F144/9.8</f>
        <v>466.29365575274227</v>
      </c>
      <c r="W116" s="5" t="s">
        <v>1932</v>
      </c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</sheetData>
  <mergeCells count="125">
    <mergeCell ref="A85:B85"/>
    <mergeCell ref="A86:B86"/>
    <mergeCell ref="C85:D85"/>
    <mergeCell ref="C86:D86"/>
    <mergeCell ref="R85:S85"/>
    <mergeCell ref="T85:U85"/>
    <mergeCell ref="R86:S86"/>
    <mergeCell ref="T86:U86"/>
    <mergeCell ref="X87:Z88"/>
    <mergeCell ref="T82:U83"/>
    <mergeCell ref="V82:V83"/>
    <mergeCell ref="R84:S84"/>
    <mergeCell ref="T84:U84"/>
    <mergeCell ref="S87:T88"/>
    <mergeCell ref="V87:W88"/>
    <mergeCell ref="AB76:AC76"/>
    <mergeCell ref="R77:S77"/>
    <mergeCell ref="R78:S78"/>
    <mergeCell ref="R79:S79"/>
    <mergeCell ref="R81:S81"/>
    <mergeCell ref="R80:S80"/>
    <mergeCell ref="R61:W62"/>
    <mergeCell ref="R71:Y71"/>
    <mergeCell ref="R75:S75"/>
    <mergeCell ref="R76:S76"/>
    <mergeCell ref="R58:T58"/>
    <mergeCell ref="U58:V58"/>
    <mergeCell ref="R59:T59"/>
    <mergeCell ref="U59:V59"/>
    <mergeCell ref="T73:Y73"/>
    <mergeCell ref="R74:S74"/>
    <mergeCell ref="X58:Z58"/>
    <mergeCell ref="Y59:Z59"/>
    <mergeCell ref="R52:W53"/>
    <mergeCell ref="R55:T57"/>
    <mergeCell ref="R38:W39"/>
    <mergeCell ref="R41:W41"/>
    <mergeCell ref="R46:W46"/>
    <mergeCell ref="R49:W50"/>
    <mergeCell ref="U55:Z55"/>
    <mergeCell ref="U56:Z56"/>
    <mergeCell ref="U57:Z57"/>
    <mergeCell ref="T20:Z20"/>
    <mergeCell ref="R29:Y30"/>
    <mergeCell ref="R32:W32"/>
    <mergeCell ref="R34:W36"/>
    <mergeCell ref="AG4:AH4"/>
    <mergeCell ref="R5:T5"/>
    <mergeCell ref="U5:V5"/>
    <mergeCell ref="Y5:Z5"/>
    <mergeCell ref="AA5:AC5"/>
    <mergeCell ref="AE5:AF5"/>
    <mergeCell ref="R4:T4"/>
    <mergeCell ref="U4:V4"/>
    <mergeCell ref="X4:Z4"/>
    <mergeCell ref="AA4:AC4"/>
    <mergeCell ref="AE4:AF4"/>
    <mergeCell ref="T18:Y18"/>
    <mergeCell ref="T19:Y19"/>
    <mergeCell ref="AB8:AC9"/>
    <mergeCell ref="AB16:AC17"/>
    <mergeCell ref="AG9:AH10"/>
    <mergeCell ref="AG22:AH23"/>
    <mergeCell ref="R1:T3"/>
    <mergeCell ref="U1:Z1"/>
    <mergeCell ref="AD1:AH1"/>
    <mergeCell ref="U2:Z2"/>
    <mergeCell ref="AD2:AH2"/>
    <mergeCell ref="U3:Z3"/>
    <mergeCell ref="AD3:AH3"/>
    <mergeCell ref="B87:C88"/>
    <mergeCell ref="A71:H71"/>
    <mergeCell ref="E82:E83"/>
    <mergeCell ref="A84:B84"/>
    <mergeCell ref="A77:B77"/>
    <mergeCell ref="E87:F88"/>
    <mergeCell ref="G87:I88"/>
    <mergeCell ref="C84:D84"/>
    <mergeCell ref="A75:B75"/>
    <mergeCell ref="A76:B76"/>
    <mergeCell ref="C82:D83"/>
    <mergeCell ref="A81:B81"/>
    <mergeCell ref="A79:B79"/>
    <mergeCell ref="D57:H57"/>
    <mergeCell ref="A55:C57"/>
    <mergeCell ref="A58:C58"/>
    <mergeCell ref="A78:B78"/>
    <mergeCell ref="C73:G73"/>
    <mergeCell ref="A5:C5"/>
    <mergeCell ref="D5:E5"/>
    <mergeCell ref="C20:I20"/>
    <mergeCell ref="A29:H30"/>
    <mergeCell ref="K76:L76"/>
    <mergeCell ref="A32:F32"/>
    <mergeCell ref="A61:F62"/>
    <mergeCell ref="A38:F39"/>
    <mergeCell ref="A49:F50"/>
    <mergeCell ref="D59:E59"/>
    <mergeCell ref="A52:F53"/>
    <mergeCell ref="A59:C59"/>
    <mergeCell ref="A34:F36"/>
    <mergeCell ref="A46:F46"/>
    <mergeCell ref="D55:H55"/>
    <mergeCell ref="D56:H56"/>
    <mergeCell ref="D58:E58"/>
    <mergeCell ref="A41:F41"/>
    <mergeCell ref="G58:H58"/>
    <mergeCell ref="C18:I18"/>
    <mergeCell ref="C19:I19"/>
    <mergeCell ref="A1:C3"/>
    <mergeCell ref="H5:I5"/>
    <mergeCell ref="N5:O5"/>
    <mergeCell ref="D1:I1"/>
    <mergeCell ref="D3:I3"/>
    <mergeCell ref="D2:I2"/>
    <mergeCell ref="M1:Q1"/>
    <mergeCell ref="M2:Q2"/>
    <mergeCell ref="P4:Q4"/>
    <mergeCell ref="M3:Q3"/>
    <mergeCell ref="N4:O4"/>
    <mergeCell ref="J4:L4"/>
    <mergeCell ref="J5:L5"/>
    <mergeCell ref="G4:I4"/>
    <mergeCell ref="D4:E4"/>
    <mergeCell ref="A4:C4"/>
  </mergeCells>
  <pageMargins left="0.7" right="0.7" top="0.75" bottom="0.75" header="0.3" footer="0.3"/>
  <pageSetup paperSize="9" scale="88" fitToHeight="0" orientation="portrait"/>
  <rowBreaks count="2" manualBreakCount="2">
    <brk id="54" max="8" man="1"/>
    <brk id="54" min="17" max="25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R38"/>
  <sheetViews>
    <sheetView workbookViewId="0">
      <selection sqref="A1:C3"/>
    </sheetView>
    <sheetView tabSelected="1" topLeftCell="A7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7.85546875" customWidth="1"/>
    <col min="8" max="8" width="6.140625" customWidth="1"/>
    <col min="9" max="9" width="7.140625" customWidth="1"/>
    <col min="10" max="10" width="7" customWidth="1"/>
    <col min="11" max="11" width="13.42578125" bestFit="1" customWidth="1"/>
    <col min="12" max="12" width="10" customWidth="1"/>
    <col min="13" max="13" width="11.42578125" customWidth="1"/>
    <col min="14" max="14" width="8.140625" customWidth="1"/>
    <col min="15" max="15" width="20.140625" customWidth="1"/>
    <col min="16" max="17" width="7.85546875" customWidth="1"/>
    <col min="18" max="18" width="2.85546875" customWidth="1"/>
  </cols>
  <sheetData>
    <row r="1" spans="1:18" ht="17.25" customHeight="1" thickTop="1" thickBot="1" x14ac:dyDescent="0.3">
      <c r="A1" s="822"/>
      <c r="B1" s="823"/>
      <c r="C1" s="824"/>
      <c r="D1" s="913" t="str">
        <f>'Front Page'!$A$13</f>
        <v>Mechanical  Calculations</v>
      </c>
      <c r="E1" s="842"/>
      <c r="F1" s="842"/>
      <c r="G1" s="842"/>
      <c r="H1" s="842"/>
      <c r="I1" s="843"/>
      <c r="J1" s="822"/>
      <c r="K1" s="823"/>
      <c r="L1" s="824"/>
      <c r="M1" s="913" t="str">
        <f>'Front Page'!$A$13</f>
        <v>Mechanical  Calculations</v>
      </c>
      <c r="N1" s="842"/>
      <c r="O1" s="842"/>
      <c r="P1" s="842"/>
      <c r="Q1" s="842"/>
      <c r="R1" s="843"/>
    </row>
    <row r="2" spans="1:18" ht="16.5" customHeight="1" thickBot="1" x14ac:dyDescent="0.3">
      <c r="A2" s="825"/>
      <c r="B2" s="809"/>
      <c r="C2" s="826"/>
      <c r="D2" s="839"/>
      <c r="E2" s="831"/>
      <c r="F2" s="831"/>
      <c r="G2" s="831"/>
      <c r="H2" s="831"/>
      <c r="I2" s="832"/>
      <c r="J2" s="825"/>
      <c r="K2" s="809"/>
      <c r="L2" s="826"/>
      <c r="M2" s="839"/>
      <c r="N2" s="831"/>
      <c r="O2" s="831"/>
      <c r="P2" s="831"/>
      <c r="Q2" s="831"/>
      <c r="R2" s="832"/>
    </row>
    <row r="3" spans="1:18" ht="16.5" customHeight="1" thickBot="1" x14ac:dyDescent="0.3">
      <c r="A3" s="827"/>
      <c r="B3" s="828"/>
      <c r="C3" s="829"/>
      <c r="D3" s="839" t="s">
        <v>2234</v>
      </c>
      <c r="E3" s="831"/>
      <c r="F3" s="831"/>
      <c r="G3" s="831"/>
      <c r="H3" s="831"/>
      <c r="I3" s="832"/>
      <c r="J3" s="827"/>
      <c r="K3" s="828"/>
      <c r="L3" s="829"/>
      <c r="M3" s="839" t="s">
        <v>2234</v>
      </c>
      <c r="N3" s="831"/>
      <c r="O3" s="831"/>
      <c r="P3" s="831"/>
      <c r="Q3" s="831"/>
      <c r="R3" s="832"/>
    </row>
    <row r="4" spans="1:18" ht="15.75" customHeight="1" thickBot="1" x14ac:dyDescent="0.3">
      <c r="A4" s="830"/>
      <c r="B4" s="831"/>
      <c r="C4" s="832"/>
      <c r="D4" s="915" t="str">
        <f>'Front Page'!$D$4</f>
        <v>Doc Nº</v>
      </c>
      <c r="E4" s="832"/>
      <c r="F4" s="13"/>
      <c r="G4" s="846"/>
      <c r="H4" s="831"/>
      <c r="I4" s="832"/>
      <c r="J4" s="830"/>
      <c r="K4" s="831"/>
      <c r="L4" s="832"/>
      <c r="M4" s="915" t="str">
        <f>'Front Page'!$D$4</f>
        <v>Doc Nº</v>
      </c>
      <c r="N4" s="832"/>
      <c r="O4" s="13"/>
      <c r="P4" s="846"/>
      <c r="Q4" s="831"/>
      <c r="R4" s="832"/>
    </row>
    <row r="5" spans="1:18" ht="15.75" customHeight="1" thickBot="1" x14ac:dyDescent="0.3">
      <c r="A5" s="987"/>
      <c r="B5" s="834"/>
      <c r="C5" s="835"/>
      <c r="D5" s="914" t="str">
        <f>'Front Page'!$D$5</f>
        <v>Project</v>
      </c>
      <c r="E5" s="835"/>
      <c r="F5" s="62"/>
      <c r="G5" s="131" t="s">
        <v>5</v>
      </c>
      <c r="H5" s="899"/>
      <c r="I5" s="835"/>
      <c r="J5" s="987"/>
      <c r="K5" s="834"/>
      <c r="L5" s="835"/>
      <c r="M5" s="914" t="str">
        <f>'Front Page'!$D$5</f>
        <v>Project</v>
      </c>
      <c r="N5" s="835"/>
      <c r="O5" s="62"/>
      <c r="P5" s="131" t="s">
        <v>5</v>
      </c>
      <c r="Q5" s="836"/>
      <c r="R5" s="835"/>
    </row>
    <row r="6" spans="1:18" ht="13.5" customHeight="1" thickTop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20.25" customHeight="1" x14ac:dyDescent="0.2">
      <c r="A8" s="927" t="s">
        <v>2388</v>
      </c>
      <c r="B8" s="809"/>
      <c r="C8" s="809"/>
      <c r="D8" s="809"/>
      <c r="E8" s="809"/>
      <c r="F8" s="809"/>
      <c r="G8" s="809"/>
      <c r="H8" s="809"/>
      <c r="I8" s="809"/>
      <c r="J8" s="927" t="s">
        <v>2389</v>
      </c>
      <c r="K8" s="809"/>
      <c r="L8" s="809"/>
      <c r="M8" s="809"/>
      <c r="N8" s="809"/>
      <c r="O8" s="809"/>
      <c r="P8" s="809"/>
      <c r="Q8" s="809"/>
      <c r="R8" s="809"/>
    </row>
    <row r="9" spans="1:18" ht="22.5" customHeight="1" x14ac:dyDescent="0.2">
      <c r="A9" s="809"/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09"/>
      <c r="R9" s="809"/>
    </row>
    <row r="10" spans="1:18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">
      <c r="A11" s="118" t="s">
        <v>2390</v>
      </c>
      <c r="B11" s="5"/>
      <c r="C11" s="5"/>
      <c r="D11" s="5"/>
      <c r="E11" s="5"/>
      <c r="F11" s="5"/>
      <c r="G11" s="5"/>
      <c r="H11" s="5"/>
      <c r="I11" s="5"/>
      <c r="J11" s="118" t="s">
        <v>2390</v>
      </c>
      <c r="K11" s="5"/>
      <c r="L11" s="5"/>
      <c r="M11" s="5"/>
      <c r="N11" s="5"/>
      <c r="O11" s="5"/>
      <c r="P11" s="5"/>
      <c r="Q11" s="5"/>
      <c r="R11" s="5"/>
    </row>
    <row r="12" spans="1:18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">
      <c r="A13" s="64" t="s">
        <v>1126</v>
      </c>
      <c r="B13" s="332">
        <f>+'Loads on slab'!H41</f>
        <v>75.332058219880295</v>
      </c>
      <c r="C13" s="64" t="s">
        <v>360</v>
      </c>
      <c r="D13" s="5"/>
      <c r="E13" s="5"/>
      <c r="F13" s="5"/>
      <c r="G13" s="5"/>
      <c r="H13" s="5"/>
      <c r="I13" s="5"/>
      <c r="J13" s="64" t="s">
        <v>1126</v>
      </c>
      <c r="K13" s="332">
        <f>+B13*2.205*1000</f>
        <v>166107.18837483606</v>
      </c>
      <c r="L13" s="64" t="s">
        <v>821</v>
      </c>
      <c r="M13" s="5"/>
      <c r="N13" s="5"/>
      <c r="O13" s="5"/>
      <c r="P13" s="5"/>
      <c r="Q13" s="5"/>
      <c r="R13" s="5"/>
    </row>
    <row r="14" spans="1:18" x14ac:dyDescent="0.2">
      <c r="A14" s="64" t="s">
        <v>1127</v>
      </c>
      <c r="B14" s="332">
        <f>+'Loads on slab'!H44</f>
        <v>14.77828306370569</v>
      </c>
      <c r="C14" s="64" t="s">
        <v>360</v>
      </c>
      <c r="D14" s="5"/>
      <c r="E14" s="5"/>
      <c r="F14" s="5"/>
      <c r="G14" s="5"/>
      <c r="H14" s="5"/>
      <c r="I14" s="5"/>
      <c r="J14" s="64" t="s">
        <v>1127</v>
      </c>
      <c r="K14" s="332">
        <f>+B14*2.205*1000</f>
        <v>32586.114155471045</v>
      </c>
      <c r="L14" s="64" t="s">
        <v>821</v>
      </c>
      <c r="M14" s="5"/>
      <c r="N14" s="5"/>
      <c r="O14" s="5"/>
      <c r="P14" s="5"/>
      <c r="Q14" s="5"/>
      <c r="R14" s="5"/>
    </row>
    <row r="15" spans="1:18" x14ac:dyDescent="0.2">
      <c r="A15" s="64" t="s">
        <v>1130</v>
      </c>
      <c r="B15" s="332">
        <f>+'Loads on slab'!H52</f>
        <v>42.601327789644152</v>
      </c>
      <c r="C15" s="64" t="s">
        <v>360</v>
      </c>
      <c r="D15" s="5"/>
      <c r="E15" s="5"/>
      <c r="F15" s="5"/>
      <c r="G15" s="5"/>
      <c r="H15" s="5"/>
      <c r="I15" s="5"/>
      <c r="J15" s="64" t="s">
        <v>1130</v>
      </c>
      <c r="K15" s="332">
        <f>+B15*2.205*1000</f>
        <v>93935.92777616535</v>
      </c>
      <c r="L15" s="64" t="s">
        <v>821</v>
      </c>
      <c r="M15" s="5"/>
      <c r="N15" s="5"/>
      <c r="O15" s="5"/>
      <c r="P15" s="5"/>
      <c r="Q15" s="5"/>
      <c r="R15" s="5"/>
    </row>
    <row r="16" spans="1:18" x14ac:dyDescent="0.2">
      <c r="A16" s="64" t="s">
        <v>1133</v>
      </c>
      <c r="B16" s="332">
        <f>+'Loads on slab'!H66</f>
        <v>1171.4531913240603</v>
      </c>
      <c r="C16" s="64" t="s">
        <v>360</v>
      </c>
      <c r="D16" s="5"/>
      <c r="E16" s="5"/>
      <c r="F16" s="5"/>
      <c r="G16" s="5"/>
      <c r="H16" s="5"/>
      <c r="I16" s="5"/>
      <c r="J16" s="64" t="s">
        <v>1133</v>
      </c>
      <c r="K16" s="332">
        <f>+B16*2.205*1000</f>
        <v>2583054.2868695529</v>
      </c>
      <c r="L16" s="64" t="s">
        <v>821</v>
      </c>
      <c r="M16" s="5"/>
      <c r="N16" s="5"/>
      <c r="O16" s="5"/>
      <c r="P16" s="5"/>
      <c r="Q16" s="5"/>
      <c r="R16" s="5"/>
    </row>
    <row r="17" spans="1:18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">
      <c r="A18" s="64" t="s">
        <v>2391</v>
      </c>
      <c r="B18" s="332">
        <f>SUM(B13:B16)</f>
        <v>1304.1648603972903</v>
      </c>
      <c r="C18" s="64" t="s">
        <v>2392</v>
      </c>
      <c r="D18" s="5"/>
      <c r="E18" s="5"/>
      <c r="F18" s="5"/>
      <c r="G18" s="5"/>
      <c r="H18" s="5"/>
      <c r="I18" s="5"/>
      <c r="J18" s="64" t="s">
        <v>2391</v>
      </c>
      <c r="K18" s="263">
        <f>B18*2.205*1000</f>
        <v>2875683.5171760255</v>
      </c>
      <c r="L18" s="64" t="s">
        <v>2393</v>
      </c>
      <c r="M18" s="5"/>
      <c r="N18" s="5"/>
      <c r="O18" s="5"/>
      <c r="P18" s="5"/>
      <c r="Q18" s="5"/>
      <c r="R18" s="5"/>
    </row>
    <row r="19" spans="1:18" x14ac:dyDescent="0.2">
      <c r="A19" s="64" t="s">
        <v>1090</v>
      </c>
      <c r="B19" s="265">
        <f>'Loads on slab'!B11</f>
        <v>333.29156461934122</v>
      </c>
      <c r="C19" s="64" t="s">
        <v>2394</v>
      </c>
      <c r="D19" s="5"/>
      <c r="E19" s="5"/>
      <c r="F19" s="5"/>
      <c r="G19" s="5"/>
      <c r="H19" s="5"/>
      <c r="I19" s="5"/>
      <c r="J19" s="64" t="s">
        <v>1090</v>
      </c>
      <c r="K19" s="265">
        <f>10.764*B19</f>
        <v>3587.5504015625888</v>
      </c>
      <c r="L19" s="64" t="s">
        <v>2395</v>
      </c>
      <c r="M19" s="5"/>
      <c r="N19" s="5"/>
      <c r="O19" s="5"/>
      <c r="P19" s="5"/>
      <c r="Q19" s="5"/>
      <c r="R19" s="5"/>
    </row>
    <row r="20" spans="1:18" x14ac:dyDescent="0.2">
      <c r="A20" s="64" t="s">
        <v>2396</v>
      </c>
      <c r="B20" s="5">
        <f>B18*1000*9.8/B19/1000000</f>
        <v>3.8347252041889109E-2</v>
      </c>
      <c r="C20" s="64" t="s">
        <v>2397</v>
      </c>
      <c r="D20" s="5"/>
      <c r="E20" s="5"/>
      <c r="F20" s="5"/>
      <c r="G20" s="5"/>
      <c r="H20" s="5"/>
      <c r="I20" s="5"/>
      <c r="J20" s="64" t="s">
        <v>2396</v>
      </c>
      <c r="K20" s="265">
        <f>B20*145.04</f>
        <v>5.5618854361555963</v>
      </c>
      <c r="L20" s="64" t="s">
        <v>2398</v>
      </c>
      <c r="M20" s="5"/>
      <c r="N20" s="5"/>
      <c r="O20" s="5"/>
      <c r="P20" s="5"/>
      <c r="Q20" s="5"/>
      <c r="R20" s="5"/>
    </row>
    <row r="21" spans="1:18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5.75" customHeight="1" x14ac:dyDescent="0.25">
      <c r="A24" s="102" t="s">
        <v>2399</v>
      </c>
      <c r="B24" s="102"/>
      <c r="C24" s="102"/>
      <c r="D24" s="102"/>
      <c r="E24" s="5"/>
      <c r="F24" s="5"/>
      <c r="G24" s="5"/>
      <c r="H24" s="5"/>
      <c r="I24" s="5"/>
      <c r="J24" s="102" t="s">
        <v>2399</v>
      </c>
      <c r="K24" s="5"/>
      <c r="L24" s="5"/>
      <c r="M24" s="5"/>
      <c r="N24" s="5"/>
      <c r="O24" s="5"/>
      <c r="P24" s="5"/>
      <c r="Q24" s="5"/>
      <c r="R24" s="5"/>
    </row>
    <row r="25" spans="1:18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">
      <c r="A26" s="5"/>
      <c r="B26" s="64" t="s">
        <v>413</v>
      </c>
      <c r="C26" s="5"/>
      <c r="D26" s="5"/>
      <c r="E26" s="5"/>
      <c r="F26" s="5"/>
      <c r="G26" s="5"/>
      <c r="H26" s="5"/>
      <c r="I26" s="5"/>
      <c r="J26" s="5"/>
      <c r="K26" s="118" t="str">
        <f>B26</f>
        <v>HLB800</v>
      </c>
      <c r="L26" s="5"/>
      <c r="M26" s="5"/>
      <c r="N26" s="5"/>
      <c r="O26" s="5"/>
      <c r="P26" s="5"/>
      <c r="Q26" s="5"/>
      <c r="R26" s="5"/>
    </row>
    <row r="27" spans="1:18" x14ac:dyDescent="0.2">
      <c r="A27" s="5"/>
      <c r="B27" s="64" t="s">
        <v>2400</v>
      </c>
      <c r="C27" s="5"/>
      <c r="D27" s="5"/>
      <c r="E27" s="433">
        <v>0.8</v>
      </c>
      <c r="F27" s="64" t="s">
        <v>925</v>
      </c>
      <c r="G27" s="5"/>
      <c r="H27" s="5"/>
      <c r="I27" s="5"/>
      <c r="J27" s="5"/>
      <c r="K27" s="64" t="s">
        <v>2401</v>
      </c>
      <c r="L27" s="5"/>
      <c r="M27" s="5"/>
      <c r="N27" s="265">
        <f>E27*145.04</f>
        <v>116.032</v>
      </c>
      <c r="O27" s="64" t="s">
        <v>926</v>
      </c>
      <c r="P27" s="5"/>
      <c r="Q27" s="5"/>
      <c r="R27" s="5"/>
    </row>
    <row r="28" spans="1:18" x14ac:dyDescent="0.2">
      <c r="A28" s="5"/>
      <c r="B28" s="64"/>
      <c r="C28" s="5"/>
      <c r="D28" s="5"/>
      <c r="E28" s="5"/>
      <c r="F28" s="64"/>
      <c r="G28" s="5"/>
      <c r="H28" s="5"/>
      <c r="I28" s="5"/>
      <c r="J28" s="5"/>
      <c r="K28" s="64"/>
      <c r="L28" s="5"/>
      <c r="M28" s="5"/>
      <c r="N28" s="5"/>
      <c r="O28" s="64"/>
      <c r="P28" s="5"/>
      <c r="Q28" s="5"/>
      <c r="R28" s="5"/>
    </row>
    <row r="29" spans="1:18" x14ac:dyDescent="0.2">
      <c r="A29" s="5"/>
      <c r="B29" s="64" t="s">
        <v>2402</v>
      </c>
      <c r="C29" s="5"/>
      <c r="D29" s="5"/>
      <c r="E29" s="433">
        <v>4</v>
      </c>
      <c r="F29" s="5"/>
      <c r="G29" s="5"/>
      <c r="H29" s="5"/>
      <c r="I29" s="5"/>
      <c r="J29" s="5"/>
      <c r="K29" s="64" t="s">
        <v>2403</v>
      </c>
      <c r="L29" s="5"/>
      <c r="M29" s="5"/>
      <c r="N29" s="5"/>
      <c r="O29" s="5"/>
      <c r="P29" s="5">
        <f>E29</f>
        <v>4</v>
      </c>
      <c r="Q29" s="5"/>
      <c r="R29" s="5"/>
    </row>
    <row r="30" spans="1:18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 t="s">
        <v>2404</v>
      </c>
      <c r="L30" s="5"/>
      <c r="M30" s="5"/>
      <c r="N30" s="5"/>
      <c r="O30" s="5"/>
      <c r="P30" s="5"/>
      <c r="Q30" s="5"/>
      <c r="R30" s="5"/>
    </row>
    <row r="31" spans="1:18" x14ac:dyDescent="0.2">
      <c r="A31" s="5"/>
      <c r="B31" s="64" t="s">
        <v>2405</v>
      </c>
      <c r="C31" s="5"/>
      <c r="D31" s="5"/>
      <c r="E31" s="265">
        <f>E27/(B20)</f>
        <v>20.861990296621773</v>
      </c>
      <c r="F31" s="265"/>
      <c r="G31" s="5"/>
      <c r="H31" s="5"/>
      <c r="I31" s="5"/>
      <c r="J31" s="5"/>
      <c r="K31" s="346" t="s">
        <v>2406</v>
      </c>
      <c r="L31" s="265"/>
      <c r="M31" s="265"/>
      <c r="N31" s="5"/>
      <c r="O31" s="5"/>
      <c r="P31" s="265">
        <f>N27/(K20)</f>
        <v>20.861990296621769</v>
      </c>
      <c r="Q31" s="5"/>
      <c r="R31" s="5"/>
    </row>
    <row r="32" spans="1:18" x14ac:dyDescent="0.2">
      <c r="A32" s="5"/>
      <c r="B32" s="5"/>
      <c r="C32" s="5"/>
      <c r="D32" s="64" t="s">
        <v>2120</v>
      </c>
      <c r="E32" s="433" t="str">
        <f>IF(E31&gt;E29, "OK","ERROR")</f>
        <v>OK</v>
      </c>
      <c r="F32" s="5"/>
      <c r="G32" s="5"/>
      <c r="H32" s="5"/>
      <c r="I32" s="5"/>
      <c r="J32" s="5"/>
      <c r="K32" s="5"/>
      <c r="L32" s="5"/>
      <c r="M32" s="5"/>
      <c r="N32" s="5"/>
      <c r="O32" s="64" t="s">
        <v>2120</v>
      </c>
      <c r="P32" s="433" t="str">
        <f>IF(P31&gt;P29, "OK","ERROR")</f>
        <v>OK</v>
      </c>
      <c r="Q32" s="5"/>
      <c r="R32" s="5"/>
    </row>
    <row r="33" spans="1:18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118" t="s">
        <v>2407</v>
      </c>
      <c r="B35" s="5"/>
      <c r="C35" s="5"/>
      <c r="D35" s="5"/>
      <c r="E35" s="5"/>
      <c r="F35" s="5"/>
      <c r="G35" s="5"/>
      <c r="H35" s="5"/>
      <c r="I35" s="5"/>
      <c r="J35" s="118" t="s">
        <v>2408</v>
      </c>
      <c r="K35" s="5"/>
      <c r="L35" s="5"/>
      <c r="M35" s="5"/>
      <c r="N35" s="5"/>
      <c r="O35" s="5"/>
      <c r="P35" s="5"/>
      <c r="Q35" s="5"/>
      <c r="R35" s="5"/>
    </row>
    <row r="36" spans="1:18" x14ac:dyDescent="0.2">
      <c r="A36" s="64" t="s">
        <v>2409</v>
      </c>
      <c r="B36" s="5"/>
      <c r="C36" s="5"/>
      <c r="D36" s="5"/>
      <c r="E36" s="5"/>
      <c r="F36" s="5"/>
      <c r="G36" s="5"/>
      <c r="H36" s="5"/>
      <c r="I36" s="5"/>
      <c r="J36" s="5"/>
      <c r="K36" s="64" t="s">
        <v>2410</v>
      </c>
      <c r="L36" s="5"/>
      <c r="M36" s="5"/>
      <c r="N36" s="5"/>
      <c r="O36" s="5"/>
      <c r="P36" s="5"/>
      <c r="Q36" s="5"/>
      <c r="R36" s="5"/>
    </row>
    <row r="37" spans="1:18" x14ac:dyDescent="0.2">
      <c r="A37" s="5"/>
      <c r="B37" s="5"/>
      <c r="C37" s="5"/>
      <c r="D37" s="5"/>
      <c r="E37" s="5"/>
      <c r="F37" s="5"/>
      <c r="G37" s="265"/>
      <c r="H37" s="265"/>
      <c r="I37" s="265"/>
      <c r="J37" s="265"/>
      <c r="K37" s="5"/>
      <c r="L37" s="5"/>
      <c r="M37" s="5"/>
      <c r="N37" s="5"/>
      <c r="O37" s="5"/>
      <c r="P37" s="5"/>
      <c r="Q37" s="5"/>
      <c r="R37" s="5"/>
    </row>
    <row r="38" spans="1:18" x14ac:dyDescent="0.2">
      <c r="A38" s="5"/>
      <c r="B38" s="5"/>
      <c r="C38" s="5"/>
      <c r="D38" s="5"/>
      <c r="E38" s="5"/>
      <c r="F38" s="5"/>
      <c r="G38" s="5"/>
      <c r="H38" s="5"/>
      <c r="I38" s="5"/>
      <c r="J38" s="5" t="s">
        <v>2411</v>
      </c>
      <c r="K38" s="5"/>
      <c r="L38" s="5"/>
      <c r="M38" s="5"/>
      <c r="N38" s="5"/>
      <c r="O38" s="5"/>
      <c r="P38" s="5"/>
      <c r="Q38" s="5"/>
      <c r="R38" s="5"/>
    </row>
  </sheetData>
  <mergeCells count="22">
    <mergeCell ref="A5:C5"/>
    <mergeCell ref="D5:E5"/>
    <mergeCell ref="H5:I5"/>
    <mergeCell ref="A8:I9"/>
    <mergeCell ref="A1:C3"/>
    <mergeCell ref="D1:I1"/>
    <mergeCell ref="D2:I2"/>
    <mergeCell ref="D3:I3"/>
    <mergeCell ref="A4:C4"/>
    <mergeCell ref="D4:E4"/>
    <mergeCell ref="G4:I4"/>
    <mergeCell ref="J5:L5"/>
    <mergeCell ref="M5:N5"/>
    <mergeCell ref="Q5:R5"/>
    <mergeCell ref="J8:R9"/>
    <mergeCell ref="J1:L3"/>
    <mergeCell ref="M1:R1"/>
    <mergeCell ref="M2:R2"/>
    <mergeCell ref="M3:R3"/>
    <mergeCell ref="J4:L4"/>
    <mergeCell ref="M4:N4"/>
    <mergeCell ref="P4:R4"/>
  </mergeCells>
  <pageMargins left="0.74803149606299213" right="0.74803149606299213" top="0.98425196850393704" bottom="0.98425196850393704" header="0" footer="0"/>
  <pageSetup paperSize="9" scale="99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24"/>
  <dimension ref="A1:Q114"/>
  <sheetViews>
    <sheetView topLeftCell="A21" workbookViewId="0"/>
    <sheetView tabSelected="1" workbookViewId="1">
      <selection sqref="A1:AK5"/>
    </sheetView>
  </sheetViews>
  <sheetFormatPr defaultColWidth="11.42578125" defaultRowHeight="12.75" x14ac:dyDescent="0.2"/>
  <cols>
    <col min="1" max="1" width="12.85546875" customWidth="1"/>
    <col min="2" max="2" width="10.42578125" customWidth="1"/>
    <col min="3" max="3" width="7" customWidth="1"/>
    <col min="4" max="4" width="9.85546875" customWidth="1"/>
    <col min="5" max="5" width="8.85546875" customWidth="1"/>
    <col min="6" max="6" width="18.42578125" customWidth="1"/>
    <col min="7" max="7" width="7.85546875" bestFit="1" customWidth="1"/>
    <col min="8" max="8" width="11.85546875" customWidth="1"/>
  </cols>
  <sheetData>
    <row r="1" spans="1:17" ht="17.25" customHeight="1" thickTop="1" thickBot="1" x14ac:dyDescent="0.3">
      <c r="A1" s="760" t="s">
        <v>2412</v>
      </c>
      <c r="B1" s="4"/>
      <c r="C1" s="4"/>
      <c r="D1" s="761" t="s">
        <v>2413</v>
      </c>
      <c r="E1" s="4"/>
      <c r="F1" s="4"/>
      <c r="G1" s="4"/>
      <c r="H1" s="23"/>
      <c r="I1" s="28"/>
      <c r="J1" s="4"/>
      <c r="K1" s="408"/>
      <c r="L1" s="934" t="str">
        <f>'Front Page'!$A$13</f>
        <v>Mechanical  Calculations</v>
      </c>
      <c r="M1" s="842"/>
      <c r="N1" s="842"/>
      <c r="O1" s="842"/>
      <c r="P1" s="859"/>
      <c r="Q1" s="5"/>
    </row>
    <row r="2" spans="1:17" ht="16.5" customHeight="1" thickBot="1" x14ac:dyDescent="0.3">
      <c r="A2" s="762" t="s">
        <v>2414</v>
      </c>
      <c r="B2" s="5"/>
      <c r="C2" s="5"/>
      <c r="D2" s="5"/>
      <c r="E2" s="5"/>
      <c r="F2" s="5"/>
      <c r="G2" s="5"/>
      <c r="H2" s="384"/>
      <c r="I2" s="6"/>
      <c r="J2" s="5"/>
      <c r="K2" s="14"/>
      <c r="L2" s="984"/>
      <c r="M2" s="831"/>
      <c r="N2" s="831"/>
      <c r="O2" s="831"/>
      <c r="P2" s="854"/>
      <c r="Q2" s="5"/>
    </row>
    <row r="3" spans="1:17" ht="16.5" customHeight="1" thickBot="1" x14ac:dyDescent="0.3">
      <c r="A3" s="1084" t="s">
        <v>2415</v>
      </c>
      <c r="B3" s="809"/>
      <c r="C3" s="121"/>
      <c r="D3" s="763"/>
      <c r="E3" s="5"/>
      <c r="F3" s="5"/>
      <c r="G3" s="5"/>
      <c r="H3" s="384"/>
      <c r="I3" s="8"/>
      <c r="J3" s="9"/>
      <c r="K3" s="409"/>
      <c r="L3" s="985" t="s">
        <v>2416</v>
      </c>
      <c r="M3" s="834"/>
      <c r="N3" s="834"/>
      <c r="O3" s="834"/>
      <c r="P3" s="986"/>
      <c r="Q3" s="5"/>
    </row>
    <row r="4" spans="1:17" ht="16.5" customHeight="1" thickTop="1" thickBot="1" x14ac:dyDescent="0.3">
      <c r="A4" s="1084" t="s">
        <v>2417</v>
      </c>
      <c r="B4" s="809"/>
      <c r="C4" s="121"/>
      <c r="D4" s="764"/>
      <c r="E4" s="123"/>
      <c r="F4" s="5"/>
      <c r="G4" s="5"/>
      <c r="H4" s="384"/>
      <c r="I4" s="873"/>
      <c r="J4" s="848"/>
      <c r="K4" s="865"/>
      <c r="L4" s="385" t="str">
        <f>'Front Page'!$D$4</f>
        <v>Doc Nº</v>
      </c>
      <c r="M4" s="980"/>
      <c r="N4" s="843"/>
      <c r="O4" s="980"/>
      <c r="P4" s="843"/>
      <c r="Q4" s="5"/>
    </row>
    <row r="5" spans="1:17" ht="15.75" customHeight="1" thickBot="1" x14ac:dyDescent="0.3">
      <c r="A5" s="765" t="s">
        <v>2418</v>
      </c>
      <c r="B5" s="766"/>
      <c r="C5" s="767"/>
      <c r="D5" s="228"/>
      <c r="E5" s="25"/>
      <c r="F5" s="1085">
        <f>'Outer Tank Stiffeners'!F5:H5</f>
        <v>0</v>
      </c>
      <c r="G5" s="851"/>
      <c r="H5" s="852"/>
      <c r="I5" s="860"/>
      <c r="J5" s="851"/>
      <c r="K5" s="861"/>
      <c r="L5" s="386" t="str">
        <f>'Front Page'!$D$5</f>
        <v>Project</v>
      </c>
      <c r="M5" s="899"/>
      <c r="N5" s="835"/>
      <c r="O5" s="131" t="s">
        <v>5</v>
      </c>
      <c r="P5" s="132"/>
      <c r="Q5" s="5"/>
    </row>
    <row r="6" spans="1:17" ht="13.5" customHeight="1" thickTop="1" x14ac:dyDescent="0.2">
      <c r="A6" s="6"/>
      <c r="B6" s="5"/>
      <c r="C6" s="5"/>
      <c r="D6" s="5"/>
      <c r="E6" s="5"/>
      <c r="F6" s="5"/>
      <c r="G6" s="5"/>
      <c r="H6" s="5"/>
      <c r="I6" s="4"/>
      <c r="J6" s="4"/>
      <c r="K6" s="4"/>
      <c r="L6" s="4"/>
      <c r="M6" s="4"/>
      <c r="N6" s="4"/>
      <c r="O6" s="4"/>
      <c r="P6" s="4"/>
      <c r="Q6" s="5"/>
    </row>
    <row r="7" spans="1:17" ht="18" customHeight="1" x14ac:dyDescent="0.2">
      <c r="A7" s="6"/>
      <c r="B7" s="5"/>
      <c r="C7" s="5"/>
      <c r="D7" s="5"/>
      <c r="E7" s="5"/>
      <c r="F7" s="5"/>
      <c r="G7" s="5"/>
      <c r="H7" s="5"/>
      <c r="I7" s="1083" t="s">
        <v>2419</v>
      </c>
      <c r="J7" s="809"/>
      <c r="K7" s="809"/>
      <c r="L7" s="809"/>
      <c r="M7" s="809"/>
      <c r="N7" s="809"/>
      <c r="O7" s="809"/>
      <c r="P7" s="809"/>
      <c r="Q7" s="768"/>
    </row>
    <row r="8" spans="1:17" ht="12.75" customHeight="1" x14ac:dyDescent="0.2">
      <c r="A8" s="6"/>
      <c r="B8" s="5"/>
      <c r="C8" s="5"/>
      <c r="D8" s="5"/>
      <c r="E8" s="5"/>
      <c r="F8" s="5"/>
      <c r="G8" s="5"/>
      <c r="H8" s="5"/>
      <c r="I8" s="768"/>
      <c r="J8" s="768"/>
      <c r="K8" s="768"/>
      <c r="L8" s="768"/>
      <c r="M8" s="768"/>
      <c r="N8" s="768"/>
      <c r="O8" s="768"/>
      <c r="P8" s="768"/>
      <c r="Q8" s="768"/>
    </row>
    <row r="9" spans="1:17" x14ac:dyDescent="0.2">
      <c r="A9" s="6" t="s">
        <v>196</v>
      </c>
      <c r="B9" s="5" t="s">
        <v>2420</v>
      </c>
      <c r="C9" s="5"/>
      <c r="D9" s="5"/>
      <c r="E9" s="5"/>
      <c r="F9" s="5"/>
      <c r="G9" s="5"/>
      <c r="H9" s="5"/>
      <c r="I9" s="5" t="s">
        <v>196</v>
      </c>
      <c r="J9" s="5" t="s">
        <v>2420</v>
      </c>
      <c r="K9" s="5"/>
      <c r="L9" s="5"/>
      <c r="M9" s="5"/>
      <c r="N9" s="5"/>
      <c r="O9" s="5"/>
      <c r="P9" s="5"/>
      <c r="Q9" s="5"/>
    </row>
    <row r="10" spans="1:17" x14ac:dyDescent="0.2">
      <c r="A10" s="6" t="s">
        <v>971</v>
      </c>
      <c r="B10" s="5" t="s">
        <v>2421</v>
      </c>
      <c r="C10" s="5"/>
      <c r="D10" s="5"/>
      <c r="E10" s="5"/>
      <c r="F10" s="5"/>
      <c r="G10" s="5"/>
      <c r="H10" s="5"/>
      <c r="I10" s="5" t="s">
        <v>971</v>
      </c>
      <c r="J10" s="5" t="s">
        <v>2421</v>
      </c>
      <c r="K10" s="5"/>
      <c r="L10" s="5"/>
      <c r="M10" s="5"/>
      <c r="N10" s="5"/>
      <c r="O10" s="5"/>
      <c r="P10" s="5"/>
      <c r="Q10" s="5"/>
    </row>
    <row r="11" spans="1:17" x14ac:dyDescent="0.2">
      <c r="A11" s="6" t="s">
        <v>1904</v>
      </c>
      <c r="B11" s="5" t="s">
        <v>2422</v>
      </c>
      <c r="C11" s="5"/>
      <c r="D11" s="5"/>
      <c r="E11" s="5"/>
      <c r="F11" s="5"/>
      <c r="G11" s="5"/>
      <c r="H11" s="5"/>
      <c r="I11" s="5" t="s">
        <v>1904</v>
      </c>
      <c r="J11" s="5" t="s">
        <v>2422</v>
      </c>
      <c r="K11" s="5"/>
      <c r="L11" s="5"/>
      <c r="M11" s="5"/>
      <c r="N11" s="5"/>
      <c r="O11" s="5"/>
      <c r="P11" s="5"/>
      <c r="Q11" s="5"/>
    </row>
    <row r="12" spans="1:17" x14ac:dyDescent="0.2">
      <c r="A12" s="769" t="s">
        <v>1223</v>
      </c>
      <c r="B12" s="5" t="s">
        <v>2423</v>
      </c>
      <c r="C12" s="5"/>
      <c r="D12" s="5"/>
      <c r="E12" s="5"/>
      <c r="F12" s="5"/>
      <c r="G12" s="5"/>
      <c r="H12" s="5"/>
      <c r="I12" s="64" t="s">
        <v>1223</v>
      </c>
      <c r="J12" s="5" t="s">
        <v>2423</v>
      </c>
      <c r="K12" s="5"/>
      <c r="L12" s="5"/>
      <c r="M12" s="5"/>
      <c r="N12" s="5"/>
      <c r="O12" s="5"/>
      <c r="P12" s="5"/>
      <c r="Q12" s="5"/>
    </row>
    <row r="13" spans="1:17" ht="13.5" customHeight="1" x14ac:dyDescent="0.2">
      <c r="A13" s="6" t="s">
        <v>1048</v>
      </c>
      <c r="B13" s="982" t="s">
        <v>2424</v>
      </c>
      <c r="C13" s="809"/>
      <c r="D13" s="809"/>
      <c r="E13" s="809"/>
      <c r="F13" s="809"/>
      <c r="G13" s="809"/>
      <c r="H13" s="809"/>
      <c r="I13" s="5" t="s">
        <v>1048</v>
      </c>
      <c r="J13" s="982" t="s">
        <v>2424</v>
      </c>
      <c r="K13" s="809"/>
      <c r="L13" s="809"/>
      <c r="M13" s="809"/>
      <c r="N13" s="809"/>
      <c r="O13" s="809"/>
      <c r="P13" s="809"/>
      <c r="Q13" s="5"/>
    </row>
    <row r="14" spans="1:17" ht="11.25" customHeight="1" x14ac:dyDescent="0.2">
      <c r="A14" s="6"/>
      <c r="B14" s="809"/>
      <c r="C14" s="809"/>
      <c r="D14" s="809"/>
      <c r="E14" s="809"/>
      <c r="F14" s="809"/>
      <c r="G14" s="809"/>
      <c r="H14" s="809"/>
      <c r="I14" s="5"/>
      <c r="J14" s="809"/>
      <c r="K14" s="809"/>
      <c r="L14" s="809"/>
      <c r="M14" s="809"/>
      <c r="N14" s="809"/>
      <c r="O14" s="809"/>
      <c r="P14" s="809"/>
      <c r="Q14" s="5"/>
    </row>
    <row r="15" spans="1:17" x14ac:dyDescent="0.2">
      <c r="A15" s="6" t="s">
        <v>2425</v>
      </c>
      <c r="B15" s="5" t="s">
        <v>2426</v>
      </c>
      <c r="C15" s="5"/>
      <c r="D15" s="5"/>
      <c r="E15" s="5"/>
      <c r="F15" s="5"/>
      <c r="G15" s="5"/>
      <c r="H15" s="5"/>
      <c r="I15" s="5" t="s">
        <v>2425</v>
      </c>
      <c r="J15" s="5" t="s">
        <v>2426</v>
      </c>
      <c r="K15" s="5"/>
      <c r="L15" s="5"/>
      <c r="M15" s="5"/>
      <c r="N15" s="5"/>
      <c r="O15" s="5"/>
      <c r="P15" s="5"/>
      <c r="Q15" s="5"/>
    </row>
    <row r="16" spans="1:17" x14ac:dyDescent="0.2">
      <c r="A16" s="6" t="s">
        <v>2427</v>
      </c>
      <c r="B16" s="5" t="s">
        <v>2428</v>
      </c>
      <c r="C16" s="5"/>
      <c r="D16" s="5"/>
      <c r="E16" s="5"/>
      <c r="F16" s="5"/>
      <c r="G16" s="5"/>
      <c r="H16" s="5"/>
      <c r="I16" s="5" t="s">
        <v>2427</v>
      </c>
      <c r="J16" s="5" t="s">
        <v>2428</v>
      </c>
      <c r="K16" s="5"/>
      <c r="L16" s="5"/>
      <c r="M16" s="5"/>
      <c r="N16" s="5"/>
      <c r="O16" s="5"/>
      <c r="P16" s="5"/>
      <c r="Q16" s="5"/>
    </row>
    <row r="17" spans="1:17" x14ac:dyDescent="0.2">
      <c r="A17" s="6" t="s">
        <v>2429</v>
      </c>
      <c r="B17" s="5" t="s">
        <v>2430</v>
      </c>
      <c r="C17" s="5"/>
      <c r="D17" s="5"/>
      <c r="E17" s="5"/>
      <c r="F17" s="5"/>
      <c r="G17" s="5"/>
      <c r="H17" s="5"/>
      <c r="I17" s="5" t="s">
        <v>2429</v>
      </c>
      <c r="J17" s="5" t="s">
        <v>2430</v>
      </c>
      <c r="K17" s="5"/>
      <c r="L17" s="5"/>
      <c r="M17" s="5"/>
      <c r="N17" s="5"/>
      <c r="O17" s="5"/>
      <c r="P17" s="5"/>
      <c r="Q17" s="5"/>
    </row>
    <row r="18" spans="1:17" x14ac:dyDescent="0.2">
      <c r="A18" s="6" t="s">
        <v>2431</v>
      </c>
      <c r="B18" s="5" t="s">
        <v>2432</v>
      </c>
      <c r="C18" s="5"/>
      <c r="D18" s="5"/>
      <c r="E18" s="5"/>
      <c r="F18" s="5"/>
      <c r="G18" s="5"/>
      <c r="H18" s="5"/>
      <c r="I18" s="5" t="s">
        <v>2431</v>
      </c>
      <c r="J18" s="5" t="s">
        <v>2432</v>
      </c>
      <c r="K18" s="5"/>
      <c r="L18" s="5"/>
      <c r="M18" s="5"/>
      <c r="N18" s="5"/>
      <c r="O18" s="5"/>
      <c r="P18" s="5"/>
      <c r="Q18" s="5"/>
    </row>
    <row r="19" spans="1:17" x14ac:dyDescent="0.2">
      <c r="A19" s="6" t="s">
        <v>2433</v>
      </c>
      <c r="B19" s="5" t="s">
        <v>2434</v>
      </c>
      <c r="C19" s="5"/>
      <c r="D19" s="5"/>
      <c r="E19" s="5"/>
      <c r="F19" s="5"/>
      <c r="G19" s="5"/>
      <c r="H19" s="5"/>
      <c r="I19" s="5" t="s">
        <v>2433</v>
      </c>
      <c r="J19" s="5" t="s">
        <v>2434</v>
      </c>
      <c r="K19" s="5"/>
      <c r="L19" s="5"/>
      <c r="M19" s="5"/>
      <c r="N19" s="5"/>
      <c r="O19" s="5"/>
      <c r="P19" s="5"/>
      <c r="Q19" s="5"/>
    </row>
    <row r="20" spans="1:17" x14ac:dyDescent="0.2">
      <c r="A20" s="6" t="s">
        <v>2435</v>
      </c>
      <c r="B20" s="5" t="s">
        <v>2436</v>
      </c>
      <c r="C20" s="5"/>
      <c r="D20" s="5"/>
      <c r="E20" s="5"/>
      <c r="F20" s="5"/>
      <c r="G20" s="5"/>
      <c r="H20" s="5"/>
      <c r="I20" s="5" t="s">
        <v>2435</v>
      </c>
      <c r="J20" s="5" t="s">
        <v>2436</v>
      </c>
      <c r="K20" s="5"/>
      <c r="L20" s="5"/>
      <c r="M20" s="5"/>
      <c r="N20" s="5"/>
      <c r="O20" s="5"/>
      <c r="P20" s="5"/>
      <c r="Q20" s="5"/>
    </row>
    <row r="21" spans="1:17" x14ac:dyDescent="0.2">
      <c r="A21" s="6" t="s">
        <v>217</v>
      </c>
      <c r="B21" s="5" t="s">
        <v>2437</v>
      </c>
      <c r="C21" s="5"/>
      <c r="D21" s="5"/>
      <c r="E21" s="5"/>
      <c r="F21" s="5"/>
      <c r="G21" s="5"/>
      <c r="H21" s="5"/>
      <c r="I21" s="5" t="s">
        <v>217</v>
      </c>
      <c r="J21" s="5" t="s">
        <v>2437</v>
      </c>
      <c r="K21" s="5"/>
      <c r="L21" s="5"/>
      <c r="M21" s="5"/>
      <c r="N21" s="5"/>
      <c r="O21" s="5"/>
      <c r="P21" s="5"/>
      <c r="Q21" s="5"/>
    </row>
    <row r="22" spans="1:17" x14ac:dyDescent="0.2">
      <c r="A22" s="6" t="s">
        <v>2006</v>
      </c>
      <c r="B22" s="982" t="s">
        <v>2438</v>
      </c>
      <c r="C22" s="809"/>
      <c r="D22" s="809"/>
      <c r="E22" s="809"/>
      <c r="F22" s="809"/>
      <c r="G22" s="809"/>
      <c r="H22" s="809"/>
      <c r="I22" s="5" t="s">
        <v>2006</v>
      </c>
      <c r="J22" s="982" t="s">
        <v>2438</v>
      </c>
      <c r="K22" s="809"/>
      <c r="L22" s="809"/>
      <c r="M22" s="809"/>
      <c r="N22" s="809"/>
      <c r="O22" s="809"/>
      <c r="P22" s="809"/>
      <c r="Q22" s="5"/>
    </row>
    <row r="23" spans="1:17" x14ac:dyDescent="0.2">
      <c r="A23" s="6"/>
      <c r="B23" s="809"/>
      <c r="C23" s="809"/>
      <c r="D23" s="809"/>
      <c r="E23" s="809"/>
      <c r="F23" s="809"/>
      <c r="G23" s="809"/>
      <c r="H23" s="809"/>
      <c r="I23" s="5"/>
      <c r="J23" s="809"/>
      <c r="K23" s="809"/>
      <c r="L23" s="809"/>
      <c r="M23" s="809"/>
      <c r="N23" s="809"/>
      <c r="O23" s="809"/>
      <c r="P23" s="809"/>
      <c r="Q23" s="5"/>
    </row>
    <row r="24" spans="1:17" x14ac:dyDescent="0.2">
      <c r="A24" s="6" t="s">
        <v>2439</v>
      </c>
      <c r="B24" s="5" t="s">
        <v>2440</v>
      </c>
      <c r="C24" s="5"/>
      <c r="D24" s="5"/>
      <c r="E24" s="5"/>
      <c r="F24" s="5"/>
      <c r="G24" s="5"/>
      <c r="H24" s="5"/>
      <c r="I24" s="5" t="s">
        <v>2439</v>
      </c>
      <c r="J24" s="5" t="s">
        <v>2440</v>
      </c>
      <c r="K24" s="5"/>
      <c r="L24" s="5"/>
      <c r="M24" s="5"/>
      <c r="N24" s="5"/>
      <c r="O24" s="5"/>
      <c r="P24" s="5"/>
      <c r="Q24" s="5"/>
    </row>
    <row r="25" spans="1:17" x14ac:dyDescent="0.2">
      <c r="A25" s="6" t="s">
        <v>2441</v>
      </c>
      <c r="B25" s="5" t="s">
        <v>2442</v>
      </c>
      <c r="C25" s="5"/>
      <c r="D25" s="5"/>
      <c r="E25" s="5"/>
      <c r="F25" s="5"/>
      <c r="G25" s="5"/>
      <c r="H25" s="5"/>
      <c r="I25" s="5" t="s">
        <v>2441</v>
      </c>
      <c r="J25" s="5" t="s">
        <v>2442</v>
      </c>
      <c r="K25" s="5"/>
      <c r="L25" s="5"/>
      <c r="M25" s="5"/>
      <c r="N25" s="5"/>
      <c r="O25" s="5"/>
      <c r="P25" s="5"/>
      <c r="Q25" s="5"/>
    </row>
    <row r="26" spans="1:17" x14ac:dyDescent="0.2">
      <c r="A26" s="6" t="s">
        <v>2443</v>
      </c>
      <c r="B26" s="5" t="s">
        <v>2444</v>
      </c>
      <c r="C26" s="5"/>
      <c r="D26" s="5"/>
      <c r="E26" s="5"/>
      <c r="F26" s="5"/>
      <c r="G26" s="5"/>
      <c r="H26" s="5"/>
      <c r="I26" s="5" t="s">
        <v>2443</v>
      </c>
      <c r="J26" s="5" t="s">
        <v>2444</v>
      </c>
      <c r="K26" s="5"/>
      <c r="L26" s="5"/>
      <c r="M26" s="5"/>
      <c r="N26" s="5"/>
      <c r="O26" s="5"/>
      <c r="P26" s="5"/>
      <c r="Q26" s="5"/>
    </row>
    <row r="27" spans="1:17" x14ac:dyDescent="0.2">
      <c r="A27" s="6" t="s">
        <v>2044</v>
      </c>
      <c r="B27" s="5" t="s">
        <v>2445</v>
      </c>
      <c r="C27" s="5"/>
      <c r="D27" s="5"/>
      <c r="E27" s="5"/>
      <c r="F27" s="5"/>
      <c r="G27" s="5"/>
      <c r="H27" s="5"/>
      <c r="I27" s="5" t="s">
        <v>2044</v>
      </c>
      <c r="J27" s="5" t="s">
        <v>2445</v>
      </c>
      <c r="K27" s="5"/>
      <c r="L27" s="5"/>
      <c r="M27" s="5"/>
      <c r="N27" s="5"/>
      <c r="O27" s="5"/>
      <c r="P27" s="5"/>
      <c r="Q27" s="5"/>
    </row>
    <row r="28" spans="1:17" x14ac:dyDescent="0.2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770" t="s">
        <v>2446</v>
      </c>
      <c r="B29" s="65" t="s">
        <v>196</v>
      </c>
      <c r="C29" s="65" t="s">
        <v>1223</v>
      </c>
      <c r="D29" s="65" t="s">
        <v>2425</v>
      </c>
      <c r="E29" s="65" t="s">
        <v>2427</v>
      </c>
      <c r="F29" s="65" t="s">
        <v>2447</v>
      </c>
      <c r="G29" s="65" t="s">
        <v>1136</v>
      </c>
      <c r="H29" s="14"/>
      <c r="I29" s="65" t="s">
        <v>2446</v>
      </c>
      <c r="J29" s="65" t="s">
        <v>196</v>
      </c>
      <c r="K29" s="65" t="s">
        <v>1223</v>
      </c>
      <c r="L29" s="65" t="s">
        <v>2425</v>
      </c>
      <c r="M29" s="65" t="s">
        <v>2427</v>
      </c>
      <c r="N29" s="65" t="s">
        <v>2447</v>
      </c>
      <c r="O29" s="65" t="s">
        <v>1136</v>
      </c>
      <c r="P29" s="14"/>
      <c r="Q29" s="5"/>
    </row>
    <row r="30" spans="1:17" x14ac:dyDescent="0.2">
      <c r="A30" s="771" t="s">
        <v>2448</v>
      </c>
      <c r="B30" s="455">
        <v>60.3</v>
      </c>
      <c r="C30" s="219">
        <v>3.91</v>
      </c>
      <c r="D30" s="219">
        <v>9</v>
      </c>
      <c r="E30" s="219">
        <v>9</v>
      </c>
      <c r="F30" s="219" t="s">
        <v>2449</v>
      </c>
      <c r="G30" s="417">
        <f>(F50+G68)/E40</f>
        <v>15.040226964769648</v>
      </c>
      <c r="H30" s="264" t="str">
        <f>IF(G30&gt;1,"OK","ERROR")</f>
        <v>OK</v>
      </c>
      <c r="I30" s="771" t="s">
        <v>2448</v>
      </c>
      <c r="J30" s="772">
        <f t="shared" ref="J30:M34" si="0">B30/25.4</f>
        <v>2.3740157480314963</v>
      </c>
      <c r="K30" s="772">
        <f t="shared" si="0"/>
        <v>0.15393700787401576</v>
      </c>
      <c r="L30" s="772">
        <f t="shared" si="0"/>
        <v>0.35433070866141736</v>
      </c>
      <c r="M30" s="772">
        <f t="shared" si="0"/>
        <v>0.35433070866141736</v>
      </c>
      <c r="N30" s="219" t="s">
        <v>2449</v>
      </c>
      <c r="O30" s="417">
        <f>G30</f>
        <v>15.040226964769648</v>
      </c>
      <c r="P30" s="264" t="str">
        <f>IF(O30&gt;1,"OK","ERROR")</f>
        <v>OK</v>
      </c>
      <c r="Q30" s="5"/>
    </row>
    <row r="31" spans="1:17" x14ac:dyDescent="0.2">
      <c r="A31" s="771" t="s">
        <v>2450</v>
      </c>
      <c r="B31" s="455">
        <v>168.3</v>
      </c>
      <c r="C31" s="219">
        <v>7.11</v>
      </c>
      <c r="D31" s="219">
        <v>9</v>
      </c>
      <c r="E31" s="219">
        <v>9</v>
      </c>
      <c r="F31" s="247" t="s">
        <v>2449</v>
      </c>
      <c r="G31" s="417">
        <f>(F51)/E41</f>
        <v>3.2305007499711551</v>
      </c>
      <c r="H31" s="264" t="str">
        <f>IF(G31&gt;1,"OK","ERROR")</f>
        <v>OK</v>
      </c>
      <c r="I31" s="771" t="s">
        <v>2450</v>
      </c>
      <c r="J31" s="772">
        <f t="shared" si="0"/>
        <v>6.6259842519685046</v>
      </c>
      <c r="K31" s="772">
        <f t="shared" si="0"/>
        <v>0.2799212598425197</v>
      </c>
      <c r="L31" s="772">
        <f t="shared" si="0"/>
        <v>0.35433070866141736</v>
      </c>
      <c r="M31" s="772">
        <f t="shared" si="0"/>
        <v>0.35433070866141736</v>
      </c>
      <c r="N31" s="247" t="s">
        <v>2449</v>
      </c>
      <c r="O31" s="417">
        <f>G31</f>
        <v>3.2305007499711551</v>
      </c>
      <c r="P31" s="264" t="str">
        <f>IF(O31&gt;1,"OK","ERROR")</f>
        <v>OK</v>
      </c>
      <c r="Q31" s="5"/>
    </row>
    <row r="32" spans="1:17" x14ac:dyDescent="0.2">
      <c r="A32" s="771" t="s">
        <v>2451</v>
      </c>
      <c r="B32" s="455">
        <v>273.10000000000002</v>
      </c>
      <c r="C32" s="219">
        <v>9.27</v>
      </c>
      <c r="D32" s="219">
        <v>9</v>
      </c>
      <c r="E32" s="219">
        <v>9</v>
      </c>
      <c r="F32" s="247" t="s">
        <v>2449</v>
      </c>
      <c r="G32" s="417">
        <f>(F52)/E42</f>
        <v>2.0809014995061501</v>
      </c>
      <c r="H32" s="264" t="str">
        <f>IF(G32&gt;1,"OK","ERROR")</f>
        <v>OK</v>
      </c>
      <c r="I32" s="771" t="s">
        <v>2451</v>
      </c>
      <c r="J32" s="772">
        <f t="shared" si="0"/>
        <v>10.751968503937009</v>
      </c>
      <c r="K32" s="772">
        <f t="shared" si="0"/>
        <v>0.36496062992125983</v>
      </c>
      <c r="L32" s="772">
        <f t="shared" si="0"/>
        <v>0.35433070866141736</v>
      </c>
      <c r="M32" s="772">
        <f t="shared" si="0"/>
        <v>0.35433070866141736</v>
      </c>
      <c r="N32" s="247" t="s">
        <v>2449</v>
      </c>
      <c r="O32" s="417">
        <f>G32</f>
        <v>2.0809014995061501</v>
      </c>
      <c r="P32" s="264" t="str">
        <f>IF(O32&gt;1,"OK","ERROR")</f>
        <v>OK</v>
      </c>
      <c r="Q32" s="5"/>
    </row>
    <row r="33" spans="1:17" x14ac:dyDescent="0.2">
      <c r="A33" s="771" t="s">
        <v>2452</v>
      </c>
      <c r="B33" s="455">
        <v>219.1</v>
      </c>
      <c r="C33" s="219">
        <v>8.18</v>
      </c>
      <c r="D33" s="219">
        <v>9</v>
      </c>
      <c r="E33" s="219">
        <v>9</v>
      </c>
      <c r="F33" s="247" t="s">
        <v>2449</v>
      </c>
      <c r="G33" s="417">
        <f>(F53)/E43</f>
        <v>2.3055567299426429</v>
      </c>
      <c r="H33" s="264" t="str">
        <f>IF(G33&gt;1,"OK","ERROR")</f>
        <v>OK</v>
      </c>
      <c r="I33" s="771" t="s">
        <v>2452</v>
      </c>
      <c r="J33" s="772">
        <f t="shared" si="0"/>
        <v>8.6259842519685037</v>
      </c>
      <c r="K33" s="772">
        <f t="shared" si="0"/>
        <v>0.32204724409448821</v>
      </c>
      <c r="L33" s="772">
        <f t="shared" si="0"/>
        <v>0.35433070866141736</v>
      </c>
      <c r="M33" s="772">
        <f t="shared" si="0"/>
        <v>0.35433070866141736</v>
      </c>
      <c r="N33" s="247" t="s">
        <v>2449</v>
      </c>
      <c r="O33" s="417">
        <f>G33</f>
        <v>2.3055567299426429</v>
      </c>
      <c r="P33" s="264" t="str">
        <f>IF(O33&gt;1,"OK","ERROR")</f>
        <v>OK</v>
      </c>
      <c r="Q33" s="5"/>
    </row>
    <row r="34" spans="1:17" x14ac:dyDescent="0.2">
      <c r="A34" s="771" t="s">
        <v>2453</v>
      </c>
      <c r="B34" s="455">
        <v>88.9</v>
      </c>
      <c r="C34" s="219">
        <v>5.49</v>
      </c>
      <c r="D34" s="219">
        <v>9</v>
      </c>
      <c r="E34" s="219">
        <v>9</v>
      </c>
      <c r="F34" s="247" t="s">
        <v>2449</v>
      </c>
      <c r="G34" s="417">
        <f>(F54)/E44</f>
        <v>2.0130536814315052</v>
      </c>
      <c r="H34" s="264" t="str">
        <f>IF(G34&gt;1,"OK","ERROR")</f>
        <v>OK</v>
      </c>
      <c r="I34" s="771" t="s">
        <v>2453</v>
      </c>
      <c r="J34" s="772">
        <f t="shared" si="0"/>
        <v>3.5000000000000004</v>
      </c>
      <c r="K34" s="772">
        <f t="shared" si="0"/>
        <v>0.21614173228346459</v>
      </c>
      <c r="L34" s="772">
        <f t="shared" si="0"/>
        <v>0.35433070866141736</v>
      </c>
      <c r="M34" s="772">
        <f t="shared" si="0"/>
        <v>0.35433070866141736</v>
      </c>
      <c r="N34" s="247" t="s">
        <v>2449</v>
      </c>
      <c r="O34" s="417">
        <f>G34</f>
        <v>2.0130536814315052</v>
      </c>
      <c r="P34" s="264" t="str">
        <f>IF(O34&gt;1,"OK","ERROR")</f>
        <v>OK</v>
      </c>
      <c r="Q34" s="5"/>
    </row>
    <row r="35" spans="1:17" x14ac:dyDescent="0.2">
      <c r="A35" s="170"/>
      <c r="B35" s="219"/>
      <c r="C35" s="219"/>
      <c r="D35" s="219"/>
      <c r="E35" s="219"/>
      <c r="F35" s="219"/>
      <c r="G35" s="417"/>
      <c r="H35" s="264"/>
      <c r="I35" s="170"/>
      <c r="J35" s="219"/>
      <c r="K35" s="219"/>
      <c r="L35" s="219"/>
      <c r="M35" s="219"/>
      <c r="N35" s="247"/>
      <c r="O35" s="417"/>
      <c r="P35" s="264"/>
      <c r="Q35" s="5"/>
    </row>
    <row r="36" spans="1:17" x14ac:dyDescent="0.2">
      <c r="A36" s="771"/>
      <c r="B36" s="219"/>
      <c r="C36" s="219"/>
      <c r="D36" s="219"/>
      <c r="E36" s="219"/>
      <c r="F36" s="219"/>
      <c r="G36" s="417"/>
      <c r="H36" s="264"/>
      <c r="I36" s="14"/>
      <c r="J36" s="219"/>
      <c r="K36" s="219"/>
      <c r="L36" s="219"/>
      <c r="M36" s="219"/>
      <c r="N36" s="219"/>
      <c r="O36" s="417"/>
      <c r="P36" s="264"/>
      <c r="Q36" s="5"/>
    </row>
    <row r="37" spans="1:17" x14ac:dyDescent="0.2">
      <c r="A37" s="773"/>
      <c r="B37" s="219"/>
      <c r="C37" s="219"/>
      <c r="D37" s="219"/>
      <c r="E37" s="219"/>
      <c r="F37" s="219"/>
      <c r="G37" s="417"/>
      <c r="H37" s="264"/>
      <c r="I37" s="14"/>
      <c r="J37" s="14"/>
      <c r="K37" s="14"/>
      <c r="L37" s="14"/>
      <c r="M37" s="14"/>
      <c r="N37" s="14"/>
      <c r="O37" s="417"/>
      <c r="P37" s="14"/>
      <c r="Q37" s="5"/>
    </row>
    <row r="38" spans="1:17" x14ac:dyDescent="0.2">
      <c r="A38" s="6"/>
      <c r="B38" s="5"/>
      <c r="C38" s="5"/>
      <c r="D38" s="5"/>
      <c r="E38" s="5"/>
      <c r="F38" s="14"/>
      <c r="G38" s="14"/>
      <c r="H38" s="14"/>
      <c r="I38" s="5"/>
      <c r="J38" s="5"/>
      <c r="K38" s="5"/>
      <c r="L38" s="5"/>
      <c r="M38" s="5"/>
      <c r="N38" s="14"/>
      <c r="O38" s="14"/>
      <c r="P38" s="14"/>
      <c r="Q38" s="5"/>
    </row>
    <row r="39" spans="1:17" x14ac:dyDescent="0.2">
      <c r="A39" s="770" t="s">
        <v>2454</v>
      </c>
      <c r="B39" s="65" t="s">
        <v>971</v>
      </c>
      <c r="C39" s="65" t="s">
        <v>2425</v>
      </c>
      <c r="D39" s="65" t="s">
        <v>1048</v>
      </c>
      <c r="E39" s="65" t="s">
        <v>1904</v>
      </c>
      <c r="F39" s="14"/>
      <c r="G39" s="14"/>
      <c r="H39" s="14"/>
      <c r="I39" s="65" t="s">
        <v>2454</v>
      </c>
      <c r="J39" s="65" t="s">
        <v>971</v>
      </c>
      <c r="K39" s="65" t="s">
        <v>2425</v>
      </c>
      <c r="L39" s="65" t="s">
        <v>1048</v>
      </c>
      <c r="M39" s="65" t="s">
        <v>1904</v>
      </c>
      <c r="N39" s="14"/>
      <c r="O39" s="14"/>
      <c r="P39" s="14"/>
      <c r="Q39" s="5"/>
    </row>
    <row r="40" spans="1:17" x14ac:dyDescent="0.2">
      <c r="A40" s="773" t="str">
        <f t="shared" ref="A40:A47" si="1">A30</f>
        <v>N11,N12,N31,N35,N30,N34,N20,N06</v>
      </c>
      <c r="B40" s="14">
        <f t="shared" ref="B40:B47" si="2">B30-2*C30</f>
        <v>52.48</v>
      </c>
      <c r="C40" s="14">
        <f t="shared" ref="C40:C47" si="3">D30</f>
        <v>9</v>
      </c>
      <c r="D40" s="219">
        <v>1</v>
      </c>
      <c r="E40" s="14">
        <f t="shared" ref="E40:E47" si="4">IF(F30="YES",B40*E30*D40*0.5,B40*E30*D40)</f>
        <v>236.16</v>
      </c>
      <c r="F40" s="14"/>
      <c r="G40" s="14"/>
      <c r="H40" s="14"/>
      <c r="I40" s="14" t="str">
        <f>I30</f>
        <v>N11,N12,N31,N35,N30,N34,N20,N06</v>
      </c>
      <c r="J40" s="642">
        <f>J30-2*K30</f>
        <v>2.066141732283465</v>
      </c>
      <c r="K40" s="642">
        <f>L30</f>
        <v>0.35433070866141736</v>
      </c>
      <c r="L40" s="219">
        <v>1</v>
      </c>
      <c r="M40" s="642">
        <f>IF(N30="YES",J40*M30*L40*0.5,J40*M30*L40)</f>
        <v>0.3660487320974643</v>
      </c>
      <c r="N40" s="14"/>
      <c r="O40" s="14"/>
      <c r="P40" s="14"/>
      <c r="Q40" s="5"/>
    </row>
    <row r="41" spans="1:17" x14ac:dyDescent="0.2">
      <c r="A41" s="773" t="str">
        <f t="shared" si="1"/>
        <v>N36,A35,N02</v>
      </c>
      <c r="B41" s="14">
        <f t="shared" si="2"/>
        <v>154.08000000000001</v>
      </c>
      <c r="C41" s="14">
        <f t="shared" si="3"/>
        <v>9</v>
      </c>
      <c r="D41" s="219">
        <v>1</v>
      </c>
      <c r="E41" s="14">
        <f t="shared" si="4"/>
        <v>693.36</v>
      </c>
      <c r="F41" s="14"/>
      <c r="G41" s="14"/>
      <c r="H41" s="14"/>
      <c r="I41" s="14" t="str">
        <f>I31</f>
        <v>N36,A35,N02</v>
      </c>
      <c r="J41" s="642">
        <f>J31-2*K31</f>
        <v>6.066141732283465</v>
      </c>
      <c r="K41" s="642">
        <f>L31</f>
        <v>0.35433070866141736</v>
      </c>
      <c r="L41" s="219">
        <v>1</v>
      </c>
      <c r="M41" s="642">
        <f>IF(N31="YES",J41*M31*L41*0.5,J41*M31*L41)</f>
        <v>1.0747101494202991</v>
      </c>
      <c r="N41" s="14"/>
      <c r="O41" s="14"/>
      <c r="P41" s="14"/>
      <c r="Q41" s="5"/>
    </row>
    <row r="42" spans="1:17" x14ac:dyDescent="0.2">
      <c r="A42" s="773" t="str">
        <f t="shared" si="1"/>
        <v>N03,N04</v>
      </c>
      <c r="B42" s="14">
        <f t="shared" si="2"/>
        <v>254.56000000000003</v>
      </c>
      <c r="C42" s="14">
        <f t="shared" si="3"/>
        <v>9</v>
      </c>
      <c r="D42" s="219">
        <v>0.35</v>
      </c>
      <c r="E42" s="14">
        <f t="shared" si="4"/>
        <v>400.93200000000007</v>
      </c>
      <c r="F42" s="14"/>
      <c r="G42" s="14"/>
      <c r="H42" s="14"/>
      <c r="I42" s="14" t="str">
        <f>I32</f>
        <v>N03,N04</v>
      </c>
      <c r="J42" s="642">
        <f>J32-2*K32</f>
        <v>10.022047244094489</v>
      </c>
      <c r="K42" s="642">
        <f>L32</f>
        <v>0.35433070866141736</v>
      </c>
      <c r="L42" s="219">
        <v>0.35</v>
      </c>
      <c r="M42" s="642">
        <f>IF(N32="YES",J42*M32*L42*0.5,J42*M32*L42)</f>
        <v>0.62144584289168592</v>
      </c>
      <c r="N42" s="14"/>
      <c r="O42" s="14"/>
      <c r="P42" s="14"/>
      <c r="Q42" s="5"/>
    </row>
    <row r="43" spans="1:17" x14ac:dyDescent="0.2">
      <c r="A43" s="773" t="str">
        <f t="shared" si="1"/>
        <v>N21,N22</v>
      </c>
      <c r="B43" s="14">
        <f t="shared" si="2"/>
        <v>202.74</v>
      </c>
      <c r="C43" s="14">
        <f t="shared" si="3"/>
        <v>9</v>
      </c>
      <c r="D43" s="219">
        <v>0.35</v>
      </c>
      <c r="E43" s="14">
        <f t="shared" si="4"/>
        <v>319.31549999999999</v>
      </c>
      <c r="F43" s="14"/>
      <c r="G43" s="14"/>
      <c r="H43" s="774"/>
      <c r="I43" s="14" t="str">
        <f>I33</f>
        <v>N21,N22</v>
      </c>
      <c r="J43" s="642">
        <f>J33-2*K33</f>
        <v>7.9818897637795274</v>
      </c>
      <c r="K43" s="642">
        <f>L33</f>
        <v>0.35433070866141736</v>
      </c>
      <c r="L43" s="219">
        <v>0.35</v>
      </c>
      <c r="M43" s="642">
        <f>IF(N33="YES",J43*M33*L43*0.5,J43*M33*L43)</f>
        <v>0.49494001488002975</v>
      </c>
      <c r="N43" s="14"/>
      <c r="O43" s="14"/>
      <c r="P43" s="774"/>
      <c r="Q43" s="5"/>
    </row>
    <row r="44" spans="1:17" x14ac:dyDescent="0.2">
      <c r="A44" s="773" t="str">
        <f t="shared" si="1"/>
        <v>N05</v>
      </c>
      <c r="B44" s="14">
        <f t="shared" si="2"/>
        <v>77.92</v>
      </c>
      <c r="C44" s="14">
        <f t="shared" si="3"/>
        <v>9</v>
      </c>
      <c r="D44" s="219">
        <v>0.7</v>
      </c>
      <c r="E44" s="14">
        <f t="shared" si="4"/>
        <v>245.44799999999998</v>
      </c>
      <c r="F44" s="14"/>
      <c r="G44" s="14"/>
      <c r="H44" s="14"/>
      <c r="I44" s="14" t="str">
        <f>I34</f>
        <v>N05</v>
      </c>
      <c r="J44" s="642">
        <f>J34-2*K34</f>
        <v>3.0677165354330711</v>
      </c>
      <c r="K44" s="642">
        <f>L34</f>
        <v>0.35433070866141736</v>
      </c>
      <c r="L44" s="219">
        <v>0.7</v>
      </c>
      <c r="M44" s="642">
        <f>IF(N34="YES",J44*M34*L44*0.5,J44*M34*L44)</f>
        <v>0.38044516089032182</v>
      </c>
      <c r="N44" s="14"/>
      <c r="O44" s="14"/>
      <c r="P44" s="14"/>
      <c r="Q44" s="5"/>
    </row>
    <row r="45" spans="1:17" x14ac:dyDescent="0.2">
      <c r="A45" s="773">
        <f t="shared" si="1"/>
        <v>0</v>
      </c>
      <c r="B45" s="14">
        <f t="shared" si="2"/>
        <v>0</v>
      </c>
      <c r="C45" s="14">
        <f t="shared" si="3"/>
        <v>0</v>
      </c>
      <c r="D45" s="219">
        <v>1</v>
      </c>
      <c r="E45" s="14">
        <f t="shared" si="4"/>
        <v>0</v>
      </c>
      <c r="F45" s="14"/>
      <c r="G45" s="14"/>
      <c r="H45" s="14"/>
      <c r="I45" s="14"/>
      <c r="J45" s="642"/>
      <c r="K45" s="642"/>
      <c r="L45" s="219"/>
      <c r="M45" s="642"/>
      <c r="N45" s="14"/>
      <c r="O45" s="14"/>
      <c r="P45" s="14"/>
      <c r="Q45" s="5"/>
    </row>
    <row r="46" spans="1:17" x14ac:dyDescent="0.2">
      <c r="A46" s="773">
        <f t="shared" si="1"/>
        <v>0</v>
      </c>
      <c r="B46" s="14">
        <f t="shared" si="2"/>
        <v>0</v>
      </c>
      <c r="C46" s="14">
        <f t="shared" si="3"/>
        <v>0</v>
      </c>
      <c r="D46" s="219">
        <v>0.35</v>
      </c>
      <c r="E46" s="14">
        <f t="shared" si="4"/>
        <v>0</v>
      </c>
      <c r="F46" s="14"/>
      <c r="G46" s="14"/>
      <c r="H46" s="14"/>
      <c r="I46" s="14"/>
      <c r="J46" s="642"/>
      <c r="K46" s="642"/>
      <c r="L46" s="219"/>
      <c r="M46" s="642"/>
      <c r="N46" s="14"/>
      <c r="O46" s="14"/>
      <c r="P46" s="14"/>
      <c r="Q46" s="5"/>
    </row>
    <row r="47" spans="1:17" x14ac:dyDescent="0.2">
      <c r="A47" s="773">
        <f t="shared" si="1"/>
        <v>0</v>
      </c>
      <c r="B47" s="14">
        <f t="shared" si="2"/>
        <v>0</v>
      </c>
      <c r="C47" s="14">
        <f t="shared" si="3"/>
        <v>0</v>
      </c>
      <c r="D47" s="219"/>
      <c r="E47" s="14">
        <f t="shared" si="4"/>
        <v>0</v>
      </c>
      <c r="F47" s="14"/>
      <c r="G47" s="14"/>
      <c r="H47" s="14"/>
      <c r="I47" s="14"/>
      <c r="J47" s="642"/>
      <c r="K47" s="642"/>
      <c r="L47" s="219"/>
      <c r="M47" s="642"/>
      <c r="N47" s="14"/>
      <c r="O47" s="14"/>
      <c r="P47" s="14"/>
      <c r="Q47" s="5"/>
    </row>
    <row r="48" spans="1:17" x14ac:dyDescent="0.2">
      <c r="A48" s="6"/>
      <c r="B48" s="5"/>
      <c r="C48" s="5"/>
      <c r="D48" s="5"/>
      <c r="E48" s="5"/>
      <c r="F48" s="14"/>
      <c r="G48" s="14"/>
      <c r="H48" s="14"/>
      <c r="I48" s="5"/>
      <c r="J48" s="5"/>
      <c r="K48" s="5"/>
      <c r="L48" s="5"/>
      <c r="M48" s="5"/>
      <c r="N48" s="14"/>
      <c r="O48" s="14"/>
      <c r="P48" s="14"/>
      <c r="Q48" s="5"/>
    </row>
    <row r="49" spans="1:17" x14ac:dyDescent="0.2">
      <c r="A49" s="770" t="s">
        <v>2454</v>
      </c>
      <c r="B49" s="65" t="s">
        <v>2429</v>
      </c>
      <c r="C49" s="65" t="s">
        <v>2431</v>
      </c>
      <c r="D49" s="65" t="s">
        <v>2455</v>
      </c>
      <c r="E49" s="65" t="s">
        <v>2433</v>
      </c>
      <c r="F49" s="65" t="s">
        <v>1090</v>
      </c>
      <c r="G49" s="14"/>
      <c r="H49" s="14"/>
      <c r="I49" s="65" t="s">
        <v>2454</v>
      </c>
      <c r="J49" s="65" t="s">
        <v>2429</v>
      </c>
      <c r="K49" s="65" t="s">
        <v>2431</v>
      </c>
      <c r="L49" s="65" t="s">
        <v>2455</v>
      </c>
      <c r="M49" s="65" t="s">
        <v>2433</v>
      </c>
      <c r="N49" s="65" t="s">
        <v>1090</v>
      </c>
      <c r="O49" s="14"/>
      <c r="P49" s="14"/>
      <c r="Q49" s="5"/>
    </row>
    <row r="50" spans="1:17" x14ac:dyDescent="0.2">
      <c r="A50" s="773" t="str">
        <f>A30</f>
        <v>N11,N12,N31,N35,N30,N34,N20,N06</v>
      </c>
      <c r="B50" s="14">
        <f>MAX(B30,B30/2+C30+D30)</f>
        <v>60.3</v>
      </c>
      <c r="C50" s="14">
        <f>2.5*D30</f>
        <v>22.5</v>
      </c>
      <c r="D50" s="219">
        <v>50</v>
      </c>
      <c r="E50" s="14">
        <f>(D30-E30)*(B50*2-B30)+(C50+MIN(C50:D50))*C30*2</f>
        <v>351.90000000000003</v>
      </c>
      <c r="F50" s="14">
        <f>E50+G68</f>
        <v>1951.9</v>
      </c>
      <c r="G50" s="14"/>
      <c r="H50" s="14"/>
      <c r="I50" s="14" t="str">
        <f>I30</f>
        <v>N11,N12,N31,N35,N30,N34,N20,N06</v>
      </c>
      <c r="J50" s="642">
        <f>MAX(J30,J30/2+K30+L30)</f>
        <v>2.3740157480314963</v>
      </c>
      <c r="K50" s="642">
        <f>2.5*L30</f>
        <v>0.8858267716535434</v>
      </c>
      <c r="L50" s="775">
        <f>D50/25.4</f>
        <v>1.9685039370078741</v>
      </c>
      <c r="M50" s="642">
        <f>(L30-M30)*(J50*2-J30)+(K50+MIN(K50:L50))*K30*2</f>
        <v>0.54544609089218188</v>
      </c>
      <c r="N50" s="642">
        <f>M50+O68</f>
        <v>3.025451050902102</v>
      </c>
      <c r="O50" s="14"/>
      <c r="P50" s="14"/>
      <c r="Q50" s="5"/>
    </row>
    <row r="51" spans="1:17" x14ac:dyDescent="0.2">
      <c r="A51" s="773" t="str">
        <f>A31</f>
        <v>N36,A35,N02</v>
      </c>
      <c r="B51" s="14">
        <f>MAX(B31,B31/2+C31+D31)</f>
        <v>168.3</v>
      </c>
      <c r="C51" s="14">
        <f>2.5*D31</f>
        <v>22.5</v>
      </c>
      <c r="D51" s="219">
        <v>50</v>
      </c>
      <c r="E51" s="14">
        <f>(D31-E31)*(B51*2-B31)+(C51+MIN(C51:D51))*C31*2</f>
        <v>639.9</v>
      </c>
      <c r="F51" s="14">
        <f>E51+G69</f>
        <v>2239.9</v>
      </c>
      <c r="G51" s="14"/>
      <c r="H51" s="14"/>
      <c r="I51" s="14" t="str">
        <f>I31</f>
        <v>N36,A35,N02</v>
      </c>
      <c r="J51" s="642">
        <f>MAX(J31,J31/2+K31+L31)</f>
        <v>6.6259842519685046</v>
      </c>
      <c r="K51" s="642">
        <f>2.5*L31</f>
        <v>0.8858267716535434</v>
      </c>
      <c r="L51" s="775">
        <f>D51/25.4</f>
        <v>1.9685039370078741</v>
      </c>
      <c r="M51" s="642">
        <f>(L31-M31)*(J51*2-J31)+(K51+MIN(K51:L51))*K31*2</f>
        <v>0.99184698369396751</v>
      </c>
      <c r="N51" s="642">
        <f>M51+O69</f>
        <v>3.4718519437038875</v>
      </c>
      <c r="O51" s="14"/>
      <c r="P51" s="14"/>
      <c r="Q51" s="5"/>
    </row>
    <row r="52" spans="1:17" x14ac:dyDescent="0.2">
      <c r="A52" s="773" t="str">
        <f>A32</f>
        <v>N03,N04</v>
      </c>
      <c r="B52" s="14">
        <f>MAX(B32,B32/2+C32+D32)</f>
        <v>273.10000000000002</v>
      </c>
      <c r="C52" s="14">
        <f>2.5*D32</f>
        <v>22.5</v>
      </c>
      <c r="D52" s="219">
        <v>200</v>
      </c>
      <c r="E52" s="14">
        <f>(D32-E32)*(B52*2-B32)+(C52+MIN(C52:D52))*C32*2</f>
        <v>834.3</v>
      </c>
      <c r="F52" s="14">
        <f>E52+G70</f>
        <v>834.3</v>
      </c>
      <c r="G52" s="14"/>
      <c r="H52" s="14"/>
      <c r="I52" s="14" t="str">
        <f>I32</f>
        <v>N03,N04</v>
      </c>
      <c r="J52" s="642">
        <f>MAX(J32,J32/2+K32+L32)</f>
        <v>10.751968503937009</v>
      </c>
      <c r="K52" s="642">
        <f>2.5*L32</f>
        <v>0.8858267716535434</v>
      </c>
      <c r="L52" s="775">
        <f>D52/25.4</f>
        <v>7.8740157480314963</v>
      </c>
      <c r="M52" s="642">
        <f>(L32-M32)*(J52*2-J32)+(K52+MIN(K52:L52))*K32*2</f>
        <v>1.2931675863351728</v>
      </c>
      <c r="N52" s="642">
        <f>M52+O70</f>
        <v>1.2931675863351728</v>
      </c>
      <c r="O52" s="14"/>
      <c r="P52" s="14"/>
      <c r="Q52" s="5"/>
    </row>
    <row r="53" spans="1:17" x14ac:dyDescent="0.2">
      <c r="A53" s="773" t="str">
        <f>A33</f>
        <v>N21,N22</v>
      </c>
      <c r="B53" s="14">
        <f>MAX(B33,B33/2+C33+D33)</f>
        <v>219.1</v>
      </c>
      <c r="C53" s="14">
        <f>2.5*D33</f>
        <v>22.5</v>
      </c>
      <c r="D53" s="219">
        <v>200</v>
      </c>
      <c r="E53" s="14">
        <f>(D33-E33)*(B53*2-B33)+(C53+MIN(C53:D53))*C33*2</f>
        <v>736.19999999999993</v>
      </c>
      <c r="F53" s="14">
        <f>E53+G71</f>
        <v>736.19999999999993</v>
      </c>
      <c r="G53" s="5"/>
      <c r="H53" s="14"/>
      <c r="I53" s="14" t="str">
        <f>I33</f>
        <v>N21,N22</v>
      </c>
      <c r="J53" s="642">
        <f>MAX(J33,J33/2+K33+L33)</f>
        <v>8.6259842519685037</v>
      </c>
      <c r="K53" s="642">
        <f>2.5*L33</f>
        <v>0.8858267716535434</v>
      </c>
      <c r="L53" s="775">
        <f>D53/25.4</f>
        <v>7.8740157480314963</v>
      </c>
      <c r="M53" s="642">
        <f>(L33-M33)*(J53*2-J33)+(K53+MIN(K53:L53))*K33*2</f>
        <v>1.1411122822245647</v>
      </c>
      <c r="N53" s="642">
        <f>M53+O71</f>
        <v>1.1411122822245647</v>
      </c>
      <c r="O53" s="5"/>
      <c r="P53" s="14"/>
      <c r="Q53" s="5"/>
    </row>
    <row r="54" spans="1:17" x14ac:dyDescent="0.2">
      <c r="A54" s="773" t="str">
        <f>A34</f>
        <v>N05</v>
      </c>
      <c r="B54" s="14">
        <f>MAX(B34,B34/2+C34+D34)</f>
        <v>88.9</v>
      </c>
      <c r="C54" s="14">
        <f>2.5*D34</f>
        <v>22.5</v>
      </c>
      <c r="D54" s="219">
        <v>50</v>
      </c>
      <c r="E54" s="14">
        <f>(D34-E34)*(B54*2-B34)+(C54+MIN(C54:D54))*C34*2</f>
        <v>494.1</v>
      </c>
      <c r="F54" s="14">
        <f>E54+G72</f>
        <v>494.1</v>
      </c>
      <c r="G54" s="5"/>
      <c r="H54" s="14"/>
      <c r="I54" s="14" t="str">
        <f>I34</f>
        <v>N05</v>
      </c>
      <c r="J54" s="642">
        <f>MAX(J34,J34/2+K34+L34)</f>
        <v>3.5000000000000004</v>
      </c>
      <c r="K54" s="642">
        <f>2.5*L34</f>
        <v>0.8858267716535434</v>
      </c>
      <c r="L54" s="775">
        <f>D54/25.4</f>
        <v>1.9685039370078741</v>
      </c>
      <c r="M54" s="642">
        <f>(L34-M34)*(J54*2-J34)+(K54+MIN(K54:L54))*K34*2</f>
        <v>0.76585653171306356</v>
      </c>
      <c r="N54" s="642">
        <f>M54+O72</f>
        <v>0.76585653171306356</v>
      </c>
      <c r="O54" s="5"/>
      <c r="P54" s="14"/>
      <c r="Q54" s="5"/>
    </row>
    <row r="55" spans="1:17" x14ac:dyDescent="0.2">
      <c r="A55" s="773"/>
      <c r="B55" s="14"/>
      <c r="C55" s="14"/>
      <c r="D55" s="219"/>
      <c r="E55" s="14"/>
      <c r="F55" s="14"/>
      <c r="G55" s="5"/>
      <c r="H55" s="14"/>
      <c r="I55" s="14"/>
      <c r="J55" s="642"/>
      <c r="K55" s="642"/>
      <c r="L55" s="219"/>
      <c r="M55" s="642"/>
      <c r="N55" s="642"/>
      <c r="O55" s="5"/>
      <c r="P55" s="14"/>
      <c r="Q55" s="5"/>
    </row>
    <row r="56" spans="1:17" x14ac:dyDescent="0.2">
      <c r="A56" s="773"/>
      <c r="B56" s="14"/>
      <c r="C56" s="14"/>
      <c r="D56" s="219"/>
      <c r="E56" s="14"/>
      <c r="F56" s="14"/>
      <c r="G56" s="5"/>
      <c r="H56" s="14"/>
      <c r="I56" s="14"/>
      <c r="J56" s="642"/>
      <c r="K56" s="642"/>
      <c r="L56" s="219"/>
      <c r="M56" s="642"/>
      <c r="N56" s="642"/>
      <c r="O56" s="5"/>
      <c r="P56" s="14"/>
      <c r="Q56" s="5"/>
    </row>
    <row r="57" spans="1:17" x14ac:dyDescent="0.2">
      <c r="A57" s="773"/>
      <c r="B57" s="14"/>
      <c r="C57" s="14"/>
      <c r="D57" s="219"/>
      <c r="E57" s="14"/>
      <c r="F57" s="14"/>
      <c r="G57" s="5"/>
      <c r="H57" s="14"/>
      <c r="I57" s="14"/>
      <c r="J57" s="642"/>
      <c r="K57" s="642"/>
      <c r="L57" s="219"/>
      <c r="M57" s="642"/>
      <c r="N57" s="642"/>
      <c r="O57" s="5"/>
      <c r="P57" s="14"/>
      <c r="Q57" s="5"/>
    </row>
    <row r="58" spans="1:17" x14ac:dyDescent="0.2">
      <c r="A58" s="6"/>
      <c r="B58" s="5"/>
      <c r="C58" s="5"/>
      <c r="D58" s="5"/>
      <c r="E58" s="5"/>
      <c r="F58" s="5"/>
      <c r="G58" s="5"/>
      <c r="H58" s="14"/>
      <c r="I58" s="5"/>
      <c r="J58" s="5"/>
      <c r="K58" s="5"/>
      <c r="L58" s="5"/>
      <c r="M58" s="5"/>
      <c r="N58" s="5"/>
      <c r="O58" s="5"/>
      <c r="P58" s="14"/>
      <c r="Q58" s="5"/>
    </row>
    <row r="59" spans="1:17" ht="13.5" customHeight="1" thickBot="1" x14ac:dyDescent="0.25">
      <c r="A59" s="60"/>
      <c r="B59" s="25"/>
      <c r="C59" s="25"/>
      <c r="D59" s="25"/>
      <c r="E59" s="25"/>
      <c r="F59" s="25"/>
      <c r="G59" s="25"/>
      <c r="H59" s="228"/>
      <c r="I59" s="5"/>
      <c r="J59" s="5"/>
      <c r="K59" s="5"/>
      <c r="L59" s="5"/>
      <c r="M59" s="5"/>
      <c r="N59" s="5"/>
      <c r="O59" s="5"/>
      <c r="P59" s="14"/>
      <c r="Q59" s="5"/>
    </row>
    <row r="60" spans="1:17" ht="17.25" customHeight="1" thickTop="1" thickBot="1" x14ac:dyDescent="0.3">
      <c r="A60" s="760" t="s">
        <v>2412</v>
      </c>
      <c r="B60" s="4"/>
      <c r="C60" s="4"/>
      <c r="D60" s="761" t="str">
        <f>D1</f>
        <v>REINFORCEMENTS OF OPENINGS/REFUERZOS DE ABERTURAS</v>
      </c>
      <c r="E60" s="4"/>
      <c r="F60" s="4"/>
      <c r="G60" s="4"/>
      <c r="H60" s="4"/>
      <c r="I60" s="313"/>
      <c r="J60" s="24"/>
      <c r="K60" s="776"/>
      <c r="L60" s="997" t="str">
        <f>'Front Page'!$A$13</f>
        <v>Mechanical  Calculations</v>
      </c>
      <c r="M60" s="831"/>
      <c r="N60" s="831"/>
      <c r="O60" s="831"/>
      <c r="P60" s="832"/>
      <c r="Q60" s="5"/>
    </row>
    <row r="61" spans="1:17" ht="16.5" customHeight="1" thickBot="1" x14ac:dyDescent="0.3">
      <c r="A61" s="762" t="s">
        <v>2414</v>
      </c>
      <c r="B61" s="5"/>
      <c r="C61" s="5"/>
      <c r="D61" s="5"/>
      <c r="E61" s="5"/>
      <c r="F61" s="5"/>
      <c r="G61" s="5"/>
      <c r="H61" s="5"/>
      <c r="I61" s="34"/>
      <c r="J61" s="5"/>
      <c r="K61" s="14"/>
      <c r="L61" s="997"/>
      <c r="M61" s="831"/>
      <c r="N61" s="831"/>
      <c r="O61" s="831"/>
      <c r="P61" s="832"/>
      <c r="Q61" s="5"/>
    </row>
    <row r="62" spans="1:17" ht="16.5" customHeight="1" thickBot="1" x14ac:dyDescent="0.3">
      <c r="A62" s="1084" t="s">
        <v>2415</v>
      </c>
      <c r="B62" s="809"/>
      <c r="C62" s="121"/>
      <c r="D62" s="763"/>
      <c r="E62" s="5"/>
      <c r="F62" s="5"/>
      <c r="G62" s="5"/>
      <c r="H62" s="5"/>
      <c r="I62" s="35"/>
      <c r="J62" s="9"/>
      <c r="K62" s="409"/>
      <c r="L62" s="996" t="s">
        <v>2416</v>
      </c>
      <c r="M62" s="834"/>
      <c r="N62" s="834"/>
      <c r="O62" s="834"/>
      <c r="P62" s="835"/>
      <c r="Q62" s="5"/>
    </row>
    <row r="63" spans="1:17" ht="16.5" customHeight="1" thickTop="1" thickBot="1" x14ac:dyDescent="0.3">
      <c r="A63" s="1084" t="s">
        <v>2417</v>
      </c>
      <c r="B63" s="809"/>
      <c r="C63" s="121"/>
      <c r="D63" s="777"/>
      <c r="E63" s="123"/>
      <c r="F63" s="5"/>
      <c r="G63" s="5"/>
      <c r="H63" s="5"/>
      <c r="I63" s="968"/>
      <c r="J63" s="848"/>
      <c r="K63" s="865"/>
      <c r="L63" s="385" t="str">
        <f>'Front Page'!$D$4</f>
        <v>Doc Nº</v>
      </c>
      <c r="M63" s="980"/>
      <c r="N63" s="843"/>
      <c r="O63" s="980"/>
      <c r="P63" s="843"/>
      <c r="Q63" s="5"/>
    </row>
    <row r="64" spans="1:17" ht="15.75" customHeight="1" thickBot="1" x14ac:dyDescent="0.3">
      <c r="A64" s="765" t="s">
        <v>2418</v>
      </c>
      <c r="B64" s="766"/>
      <c r="C64" s="767"/>
      <c r="D64" s="778"/>
      <c r="E64" s="25"/>
      <c r="F64" s="1086"/>
      <c r="G64" s="851"/>
      <c r="H64" s="851"/>
      <c r="I64" s="990"/>
      <c r="J64" s="828"/>
      <c r="K64" s="829"/>
      <c r="L64" s="452" t="str">
        <f>'Front Page'!$D$5</f>
        <v>Project</v>
      </c>
      <c r="M64" s="846"/>
      <c r="N64" s="832"/>
      <c r="O64" s="320" t="s">
        <v>5</v>
      </c>
      <c r="P64" s="13"/>
      <c r="Q64" s="5"/>
    </row>
    <row r="65" spans="1:17" ht="13.5" customHeight="1" thickTop="1" x14ac:dyDescent="0.2">
      <c r="A65" s="6"/>
      <c r="B65" s="5"/>
      <c r="C65" s="5"/>
      <c r="D65" s="5"/>
      <c r="E65" s="5"/>
      <c r="F65" s="5"/>
      <c r="G65" s="5"/>
      <c r="H65" s="5"/>
      <c r="I65" s="24"/>
      <c r="J65" s="24"/>
      <c r="K65" s="24"/>
      <c r="L65" s="24"/>
      <c r="M65" s="24"/>
      <c r="N65" s="24"/>
      <c r="O65" s="24"/>
      <c r="P65" s="24"/>
      <c r="Q65" s="5"/>
    </row>
    <row r="66" spans="1:17" x14ac:dyDescent="0.2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2">
      <c r="A67" s="770" t="s">
        <v>2454</v>
      </c>
      <c r="B67" s="65" t="s">
        <v>217</v>
      </c>
      <c r="C67" s="65" t="s">
        <v>2456</v>
      </c>
      <c r="D67" s="65" t="s">
        <v>2435</v>
      </c>
      <c r="E67" s="65" t="s">
        <v>1082</v>
      </c>
      <c r="F67" s="65" t="s">
        <v>2457</v>
      </c>
      <c r="G67" s="65" t="s">
        <v>2443</v>
      </c>
      <c r="H67" s="5"/>
      <c r="I67" s="65" t="s">
        <v>2454</v>
      </c>
      <c r="J67" s="65" t="s">
        <v>217</v>
      </c>
      <c r="K67" s="65" t="s">
        <v>2456</v>
      </c>
      <c r="L67" s="65" t="s">
        <v>2435</v>
      </c>
      <c r="M67" s="65" t="s">
        <v>1082</v>
      </c>
      <c r="N67" s="65" t="s">
        <v>2457</v>
      </c>
      <c r="O67" s="65" t="s">
        <v>2443</v>
      </c>
      <c r="P67" s="5"/>
      <c r="Q67" s="5"/>
    </row>
    <row r="68" spans="1:17" x14ac:dyDescent="0.2">
      <c r="A68" s="773" t="str">
        <f>A30</f>
        <v>N11,N12,N31,N35,N30,N34,N20,N06</v>
      </c>
      <c r="B68" s="14">
        <f>D68/C68/2</f>
        <v>-6.4300000000000024</v>
      </c>
      <c r="C68" s="14">
        <f>D30</f>
        <v>9</v>
      </c>
      <c r="D68" s="14">
        <f>E40-E50</f>
        <v>-115.74000000000004</v>
      </c>
      <c r="E68" s="219">
        <v>100</v>
      </c>
      <c r="F68" s="219">
        <v>8</v>
      </c>
      <c r="G68" s="14">
        <f>E68*F68*2</f>
        <v>1600</v>
      </c>
      <c r="H68" s="5"/>
      <c r="I68" s="14" t="str">
        <f>I30</f>
        <v>N11,N12,N31,N35,N30,N34,N20,N06</v>
      </c>
      <c r="J68" s="642">
        <f>L68/K68/2</f>
        <v>-0.25314960629921257</v>
      </c>
      <c r="K68" s="642">
        <f>L30</f>
        <v>0.35433070866141736</v>
      </c>
      <c r="L68" s="642">
        <f>M40-M50</f>
        <v>-0.17939735879471758</v>
      </c>
      <c r="M68" s="696">
        <f t="shared" ref="M68:N72" si="5">E68/25.4</f>
        <v>3.9370078740157481</v>
      </c>
      <c r="N68" s="696">
        <f t="shared" si="5"/>
        <v>0.31496062992125984</v>
      </c>
      <c r="O68" s="642">
        <f>M68*N68*2</f>
        <v>2.4800049600099201</v>
      </c>
      <c r="P68" s="5"/>
      <c r="Q68" s="5"/>
    </row>
    <row r="69" spans="1:17" x14ac:dyDescent="0.2">
      <c r="A69" s="773" t="str">
        <f>A31</f>
        <v>N36,A35,N02</v>
      </c>
      <c r="B69" s="14">
        <f>D69/(C69*2)</f>
        <v>2.970000000000002</v>
      </c>
      <c r="C69" s="14">
        <f>D31</f>
        <v>9</v>
      </c>
      <c r="D69" s="14">
        <f>E41-E51</f>
        <v>53.460000000000036</v>
      </c>
      <c r="E69" s="219">
        <v>100</v>
      </c>
      <c r="F69" s="219">
        <v>8</v>
      </c>
      <c r="G69" s="14">
        <f>E69*F69*2</f>
        <v>1600</v>
      </c>
      <c r="H69" s="5"/>
      <c r="I69" s="14" t="str">
        <f>I31</f>
        <v>N36,A35,N02</v>
      </c>
      <c r="J69" s="642">
        <f>L69/(K69*2)</f>
        <v>0.11692913385826786</v>
      </c>
      <c r="K69" s="642">
        <f>L31</f>
        <v>0.35433070866141736</v>
      </c>
      <c r="L69" s="642">
        <f>M41-M51</f>
        <v>8.2863165726331567E-2</v>
      </c>
      <c r="M69" s="696">
        <f t="shared" si="5"/>
        <v>3.9370078740157481</v>
      </c>
      <c r="N69" s="696">
        <f t="shared" si="5"/>
        <v>0.31496062992125984</v>
      </c>
      <c r="O69" s="642">
        <f>M69*N69*2</f>
        <v>2.4800049600099201</v>
      </c>
      <c r="P69" s="5"/>
      <c r="Q69" s="5"/>
    </row>
    <row r="70" spans="1:17" x14ac:dyDescent="0.2">
      <c r="A70" s="773" t="str">
        <f>A32</f>
        <v>N03,N04</v>
      </c>
      <c r="B70" s="14">
        <f>D70/(C70*2)</f>
        <v>-24.075999999999993</v>
      </c>
      <c r="C70" s="14">
        <f>D32</f>
        <v>9</v>
      </c>
      <c r="D70" s="14">
        <f>E42-E52</f>
        <v>-433.36799999999988</v>
      </c>
      <c r="E70" s="219">
        <v>0</v>
      </c>
      <c r="F70" s="219">
        <v>0</v>
      </c>
      <c r="G70" s="14">
        <f>E70*F70*2</f>
        <v>0</v>
      </c>
      <c r="H70" s="5"/>
      <c r="I70" s="14" t="str">
        <f>I32</f>
        <v>N03,N04</v>
      </c>
      <c r="J70" s="642">
        <f>L70/(K70*2)</f>
        <v>-0.94787401574803143</v>
      </c>
      <c r="K70" s="642">
        <f>L32</f>
        <v>0.35433070866141736</v>
      </c>
      <c r="L70" s="642">
        <f>M42-M52</f>
        <v>-0.6717217434434869</v>
      </c>
      <c r="M70" s="696">
        <f t="shared" si="5"/>
        <v>0</v>
      </c>
      <c r="N70" s="696">
        <f t="shared" si="5"/>
        <v>0</v>
      </c>
      <c r="O70" s="642">
        <f>M70*N70*2</f>
        <v>0</v>
      </c>
      <c r="P70" s="5"/>
      <c r="Q70" s="5"/>
    </row>
    <row r="71" spans="1:17" x14ac:dyDescent="0.2">
      <c r="A71" s="773" t="str">
        <f>A33</f>
        <v>N21,N22</v>
      </c>
      <c r="B71" s="14">
        <f>D71/(C71*2)</f>
        <v>-23.160249999999998</v>
      </c>
      <c r="C71" s="14">
        <f>D33</f>
        <v>9</v>
      </c>
      <c r="D71" s="14">
        <f>E43-E53</f>
        <v>-416.88449999999995</v>
      </c>
      <c r="E71" s="219">
        <v>0</v>
      </c>
      <c r="F71" s="219">
        <v>0</v>
      </c>
      <c r="G71" s="14">
        <f>E71*F71*2</f>
        <v>0</v>
      </c>
      <c r="H71" s="5"/>
      <c r="I71" s="14" t="str">
        <f>I33</f>
        <v>N21,N22</v>
      </c>
      <c r="J71" s="642">
        <f>L71/(K71*2)</f>
        <v>-0.91182086614173252</v>
      </c>
      <c r="K71" s="642">
        <f>L33</f>
        <v>0.35433070866141736</v>
      </c>
      <c r="L71" s="642">
        <f>M43-M53</f>
        <v>-0.64617226734453492</v>
      </c>
      <c r="M71" s="696">
        <f t="shared" si="5"/>
        <v>0</v>
      </c>
      <c r="N71" s="696">
        <f t="shared" si="5"/>
        <v>0</v>
      </c>
      <c r="O71" s="642">
        <f>M71*N71*2</f>
        <v>0</v>
      </c>
      <c r="P71" s="5"/>
      <c r="Q71" s="5"/>
    </row>
    <row r="72" spans="1:17" x14ac:dyDescent="0.2">
      <c r="A72" s="773" t="str">
        <f>A34</f>
        <v>N05</v>
      </c>
      <c r="B72" s="14">
        <f>D72/(C72*2)</f>
        <v>-13.814000000000002</v>
      </c>
      <c r="C72" s="14">
        <f>D34</f>
        <v>9</v>
      </c>
      <c r="D72" s="14">
        <f>E44-E54</f>
        <v>-248.65200000000004</v>
      </c>
      <c r="E72" s="219">
        <v>0</v>
      </c>
      <c r="F72" s="219">
        <v>0</v>
      </c>
      <c r="G72" s="14">
        <f>E72*F72*2</f>
        <v>0</v>
      </c>
      <c r="H72" s="5"/>
      <c r="I72" s="14" t="str">
        <f>I34</f>
        <v>N05</v>
      </c>
      <c r="J72" s="642">
        <f>L72/(K72*2)</f>
        <v>-0.54385826771653556</v>
      </c>
      <c r="K72" s="642">
        <f>L34</f>
        <v>0.35433070866141736</v>
      </c>
      <c r="L72" s="642">
        <f>M44-M54</f>
        <v>-0.38541137082274174</v>
      </c>
      <c r="M72" s="696">
        <f t="shared" si="5"/>
        <v>0</v>
      </c>
      <c r="N72" s="696">
        <f t="shared" si="5"/>
        <v>0</v>
      </c>
      <c r="O72" s="642">
        <f>M72*N72*2</f>
        <v>0</v>
      </c>
      <c r="P72" s="5"/>
      <c r="Q72" s="5"/>
    </row>
    <row r="73" spans="1:17" x14ac:dyDescent="0.2">
      <c r="A73" s="773"/>
      <c r="B73" s="14"/>
      <c r="C73" s="14"/>
      <c r="D73" s="14"/>
      <c r="E73" s="219"/>
      <c r="F73" s="219"/>
      <c r="G73" s="14"/>
      <c r="H73" s="5"/>
      <c r="I73" s="14"/>
      <c r="J73" s="642"/>
      <c r="K73" s="642"/>
      <c r="L73" s="642"/>
      <c r="M73" s="696"/>
      <c r="N73" s="696"/>
      <c r="O73" s="642"/>
      <c r="P73" s="5"/>
      <c r="Q73" s="5"/>
    </row>
    <row r="74" spans="1:17" x14ac:dyDescent="0.2">
      <c r="A74" s="773"/>
      <c r="B74" s="14"/>
      <c r="C74" s="14"/>
      <c r="D74" s="14"/>
      <c r="E74" s="219"/>
      <c r="F74" s="219"/>
      <c r="G74" s="14"/>
      <c r="H74" s="5"/>
      <c r="I74" s="14"/>
      <c r="J74" s="642"/>
      <c r="K74" s="642"/>
      <c r="L74" s="642"/>
      <c r="M74" s="696"/>
      <c r="N74" s="696"/>
      <c r="O74" s="642"/>
      <c r="P74" s="5"/>
      <c r="Q74" s="5"/>
    </row>
    <row r="75" spans="1:17" x14ac:dyDescent="0.2">
      <c r="A75" s="773"/>
      <c r="B75" s="14"/>
      <c r="C75" s="14"/>
      <c r="D75" s="14"/>
      <c r="E75" s="219"/>
      <c r="F75" s="219"/>
      <c r="G75" s="14"/>
      <c r="H75" s="5"/>
      <c r="I75" s="14"/>
      <c r="J75" s="642"/>
      <c r="K75" s="642"/>
      <c r="L75" s="642"/>
      <c r="M75" s="417"/>
      <c r="N75" s="417"/>
      <c r="O75" s="642"/>
      <c r="P75" s="5"/>
      <c r="Q75" s="5"/>
    </row>
    <row r="76" spans="1:17" x14ac:dyDescent="0.2">
      <c r="A76" s="773"/>
      <c r="B76" s="14"/>
      <c r="C76" s="14"/>
      <c r="D76" s="14"/>
      <c r="E76" s="219"/>
      <c r="F76" s="219"/>
      <c r="G76" s="14"/>
      <c r="H76" s="5"/>
      <c r="I76" s="14"/>
      <c r="J76" s="642"/>
      <c r="K76" s="642"/>
      <c r="L76" s="642"/>
      <c r="M76" s="417"/>
      <c r="N76" s="417"/>
      <c r="O76" s="642"/>
      <c r="P76" s="5"/>
      <c r="Q76" s="5"/>
    </row>
    <row r="77" spans="1:17" x14ac:dyDescent="0.2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2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2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2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2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2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2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2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2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x14ac:dyDescent="0.2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2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2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x14ac:dyDescent="0.2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x14ac:dyDescent="0.2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x14ac:dyDescent="0.2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x14ac:dyDescent="0.2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x14ac:dyDescent="0.2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x14ac:dyDescent="0.2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x14ac:dyDescent="0.2">
      <c r="A96" s="6"/>
      <c r="B96" s="5"/>
      <c r="C96" s="5"/>
      <c r="D96" s="5"/>
      <c r="E96" s="5"/>
      <c r="F96" s="5"/>
      <c r="G96" s="5"/>
      <c r="H96" s="384"/>
      <c r="I96" s="5"/>
      <c r="J96" s="5"/>
      <c r="K96" s="5"/>
      <c r="L96" s="5"/>
      <c r="M96" s="5"/>
      <c r="N96" s="5"/>
      <c r="O96" s="5"/>
      <c r="P96" s="5"/>
      <c r="Q96" s="5"/>
    </row>
    <row r="97" spans="1:17" x14ac:dyDescent="0.2">
      <c r="A97" s="6"/>
      <c r="B97" s="5"/>
      <c r="C97" s="5"/>
      <c r="D97" s="5"/>
      <c r="E97" s="5"/>
      <c r="F97" s="5"/>
      <c r="G97" s="5"/>
      <c r="H97" s="384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2">
      <c r="A98" s="6"/>
      <c r="B98" s="5"/>
      <c r="C98" s="5"/>
      <c r="D98" s="5"/>
      <c r="E98" s="5"/>
      <c r="F98" s="5"/>
      <c r="G98" s="5"/>
      <c r="H98" s="384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2">
      <c r="A99" s="6"/>
      <c r="B99" s="5"/>
      <c r="C99" s="5"/>
      <c r="D99" s="5"/>
      <c r="E99" s="5"/>
      <c r="F99" s="5"/>
      <c r="G99" s="5"/>
      <c r="H99" s="384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2">
      <c r="A100" s="6"/>
      <c r="B100" s="5"/>
      <c r="C100" s="5"/>
      <c r="D100" s="5"/>
      <c r="E100" s="5"/>
      <c r="F100" s="5"/>
      <c r="G100" s="5"/>
      <c r="H100" s="384"/>
      <c r="I100" s="5"/>
      <c r="J100" s="5"/>
      <c r="K100" s="5"/>
      <c r="L100" s="5"/>
      <c r="M100" s="5"/>
      <c r="N100" s="5"/>
      <c r="O100" s="5"/>
      <c r="P100" s="5"/>
      <c r="Q100" s="5"/>
    </row>
    <row r="101" spans="1:17" x14ac:dyDescent="0.2">
      <c r="A101" s="6"/>
      <c r="B101" s="5"/>
      <c r="C101" s="5"/>
      <c r="D101" s="5"/>
      <c r="E101" s="5"/>
      <c r="F101" s="5"/>
      <c r="G101" s="5"/>
      <c r="H101" s="384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2">
      <c r="A102" s="6"/>
      <c r="B102" s="5"/>
      <c r="C102" s="5"/>
      <c r="D102" s="5"/>
      <c r="E102" s="5"/>
      <c r="F102" s="5"/>
      <c r="G102" s="5"/>
      <c r="H102" s="384"/>
      <c r="I102" s="5"/>
      <c r="J102" s="5"/>
      <c r="K102" s="5"/>
      <c r="L102" s="5"/>
      <c r="M102" s="5"/>
      <c r="N102" s="5"/>
      <c r="O102" s="5"/>
      <c r="P102" s="5"/>
      <c r="Q102" s="5"/>
    </row>
    <row r="103" spans="1:17" x14ac:dyDescent="0.2">
      <c r="A103" s="6"/>
      <c r="B103" s="5"/>
      <c r="C103" s="5"/>
      <c r="D103" s="5"/>
      <c r="E103" s="5"/>
      <c r="F103" s="5"/>
      <c r="G103" s="5"/>
      <c r="H103" s="384"/>
      <c r="I103" s="5"/>
      <c r="J103" s="5"/>
      <c r="K103" s="5"/>
      <c r="L103" s="5"/>
      <c r="M103" s="5"/>
      <c r="N103" s="5"/>
      <c r="O103" s="5"/>
      <c r="P103" s="5"/>
      <c r="Q103" s="5"/>
    </row>
    <row r="104" spans="1:17" x14ac:dyDescent="0.2">
      <c r="A104" s="6"/>
      <c r="B104" s="5"/>
      <c r="C104" s="5"/>
      <c r="D104" s="5"/>
      <c r="E104" s="5"/>
      <c r="F104" s="5"/>
      <c r="G104" s="5"/>
      <c r="H104" s="384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2">
      <c r="A105" s="6"/>
      <c r="B105" s="5"/>
      <c r="C105" s="5"/>
      <c r="D105" s="5"/>
      <c r="E105" s="5"/>
      <c r="F105" s="5"/>
      <c r="G105" s="5"/>
      <c r="H105" s="384"/>
      <c r="I105" s="5"/>
      <c r="J105" s="5"/>
      <c r="K105" s="5"/>
      <c r="L105" s="5"/>
      <c r="M105" s="5"/>
      <c r="N105" s="5"/>
      <c r="O105" s="5"/>
      <c r="P105" s="5"/>
      <c r="Q105" s="5"/>
    </row>
    <row r="106" spans="1:17" x14ac:dyDescent="0.2">
      <c r="A106" s="6"/>
      <c r="B106" s="5"/>
      <c r="C106" s="5"/>
      <c r="D106" s="5"/>
      <c r="E106" s="5"/>
      <c r="F106" s="5"/>
      <c r="G106" s="5"/>
      <c r="H106" s="384"/>
      <c r="I106" s="5"/>
      <c r="J106" s="5"/>
      <c r="K106" s="5"/>
      <c r="L106" s="5"/>
      <c r="M106" s="5"/>
      <c r="N106" s="5"/>
      <c r="O106" s="5"/>
      <c r="P106" s="5"/>
      <c r="Q106" s="5"/>
    </row>
    <row r="107" spans="1:17" x14ac:dyDescent="0.2">
      <c r="A107" s="6"/>
      <c r="B107" s="5"/>
      <c r="C107" s="5"/>
      <c r="D107" s="5"/>
      <c r="E107" s="5"/>
      <c r="F107" s="5"/>
      <c r="G107" s="5"/>
      <c r="H107" s="384"/>
      <c r="I107" s="5"/>
      <c r="J107" s="5"/>
      <c r="K107" s="5"/>
      <c r="L107" s="5"/>
      <c r="M107" s="5"/>
      <c r="N107" s="5"/>
      <c r="O107" s="5"/>
      <c r="P107" s="5"/>
      <c r="Q107" s="5"/>
    </row>
    <row r="108" spans="1:17" x14ac:dyDescent="0.2">
      <c r="A108" s="6"/>
      <c r="B108" s="5"/>
      <c r="C108" s="5"/>
      <c r="D108" s="5"/>
      <c r="E108" s="5"/>
      <c r="F108" s="5"/>
      <c r="G108" s="5"/>
      <c r="H108" s="384"/>
      <c r="I108" s="5"/>
      <c r="J108" s="5"/>
      <c r="K108" s="5"/>
      <c r="L108" s="5"/>
      <c r="M108" s="5"/>
      <c r="N108" s="5"/>
      <c r="O108" s="5"/>
      <c r="P108" s="5"/>
      <c r="Q108" s="5"/>
    </row>
    <row r="109" spans="1:17" x14ac:dyDescent="0.2">
      <c r="A109" s="6"/>
      <c r="B109" s="5"/>
      <c r="C109" s="5"/>
      <c r="D109" s="5"/>
      <c r="E109" s="5"/>
      <c r="F109" s="5"/>
      <c r="G109" s="5"/>
      <c r="H109" s="384"/>
      <c r="I109" s="5"/>
      <c r="J109" s="5"/>
      <c r="K109" s="5"/>
      <c r="L109" s="5"/>
      <c r="M109" s="5"/>
      <c r="N109" s="5"/>
      <c r="O109" s="5"/>
      <c r="P109" s="5"/>
      <c r="Q109" s="5"/>
    </row>
    <row r="110" spans="1:17" x14ac:dyDescent="0.2">
      <c r="A110" s="6"/>
      <c r="B110" s="5"/>
      <c r="C110" s="5"/>
      <c r="D110" s="5"/>
      <c r="E110" s="5"/>
      <c r="F110" s="5"/>
      <c r="G110" s="5"/>
      <c r="H110" s="384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2">
      <c r="A111" s="6"/>
      <c r="B111" s="5"/>
      <c r="C111" s="5"/>
      <c r="D111" s="5"/>
      <c r="E111" s="5"/>
      <c r="F111" s="5"/>
      <c r="G111" s="5"/>
      <c r="H111" s="384"/>
      <c r="I111" s="5"/>
      <c r="J111" s="5"/>
      <c r="K111" s="5"/>
      <c r="L111" s="5"/>
      <c r="M111" s="5"/>
      <c r="N111" s="5"/>
      <c r="O111" s="5"/>
      <c r="P111" s="5"/>
      <c r="Q111" s="5"/>
    </row>
    <row r="112" spans="1:17" x14ac:dyDescent="0.2">
      <c r="A112" s="6"/>
      <c r="B112" s="5"/>
      <c r="C112" s="5"/>
      <c r="D112" s="5"/>
      <c r="E112" s="5"/>
      <c r="F112" s="5"/>
      <c r="G112" s="5"/>
      <c r="H112" s="384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3.5" customHeight="1" thickBot="1" x14ac:dyDescent="0.25">
      <c r="A113" s="60"/>
      <c r="B113" s="25"/>
      <c r="C113" s="25"/>
      <c r="D113" s="25"/>
      <c r="E113" s="25"/>
      <c r="F113" s="25"/>
      <c r="G113" s="25"/>
      <c r="H113" s="61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3.5" customHeight="1" thickTop="1" x14ac:dyDescent="0.2"/>
  </sheetData>
  <mergeCells count="27">
    <mergeCell ref="B13:H14"/>
    <mergeCell ref="F64:H64"/>
    <mergeCell ref="B22:H23"/>
    <mergeCell ref="A62:B62"/>
    <mergeCell ref="A63:B63"/>
    <mergeCell ref="I7:P7"/>
    <mergeCell ref="I4:K4"/>
    <mergeCell ref="I5:K5"/>
    <mergeCell ref="A3:B3"/>
    <mergeCell ref="A4:B4"/>
    <mergeCell ref="F5:H5"/>
    <mergeCell ref="L1:P1"/>
    <mergeCell ref="L2:P2"/>
    <mergeCell ref="L3:P3"/>
    <mergeCell ref="I64:K64"/>
    <mergeCell ref="M64:N64"/>
    <mergeCell ref="L60:P60"/>
    <mergeCell ref="L61:P61"/>
    <mergeCell ref="L62:P62"/>
    <mergeCell ref="I63:K63"/>
    <mergeCell ref="M63:N63"/>
    <mergeCell ref="O63:P63"/>
    <mergeCell ref="J13:P14"/>
    <mergeCell ref="J22:P23"/>
    <mergeCell ref="M4:N4"/>
    <mergeCell ref="O4:P4"/>
    <mergeCell ref="M5:N5"/>
  </mergeCells>
  <pageMargins left="0.75" right="0.75" top="1" bottom="1" header="0" footer="0"/>
  <pageSetup paperSize="9" scale="90" orientation="portrait"/>
  <rowBreaks count="2" manualBreakCount="2">
    <brk id="59" max="7" man="1"/>
    <brk id="59" min="8" max="15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V87"/>
  <sheetViews>
    <sheetView topLeftCell="A58" workbookViewId="0">
      <selection sqref="A1:C3"/>
    </sheetView>
    <sheetView tabSelected="1" topLeftCell="A57" workbookViewId="1">
      <selection sqref="A1:AK5"/>
    </sheetView>
  </sheetViews>
  <sheetFormatPr defaultColWidth="10.85546875" defaultRowHeight="15" x14ac:dyDescent="0.25"/>
  <cols>
    <col min="1" max="5" width="10.85546875" style="2" customWidth="1"/>
    <col min="6" max="6" width="14.140625" style="2" customWidth="1"/>
    <col min="7" max="7" width="13.42578125" style="2" customWidth="1"/>
    <col min="8" max="8" width="11.85546875" style="2" customWidth="1"/>
    <col min="9" max="9" width="10.85546875" style="2" customWidth="1"/>
    <col min="10" max="10" width="9.140625" style="2" customWidth="1"/>
    <col min="11" max="11" width="10.85546875" style="2" customWidth="1"/>
    <col min="12" max="12" width="9.42578125" style="2" customWidth="1"/>
    <col min="13" max="13" width="9" style="2" customWidth="1"/>
    <col min="14" max="14" width="9.42578125" style="2" customWidth="1"/>
    <col min="15" max="15" width="22.140625" style="2" customWidth="1"/>
    <col min="16" max="16" width="13.42578125" style="2" customWidth="1"/>
    <col min="17" max="17" width="8" style="2" customWidth="1"/>
    <col min="18" max="18" width="8.85546875" style="2" customWidth="1"/>
    <col min="19" max="20" width="10.85546875" style="2" customWidth="1"/>
    <col min="21" max="16384" width="10.85546875" style="2"/>
  </cols>
  <sheetData>
    <row r="1" spans="1:22" ht="17.25" customHeight="1" thickTop="1" thickBot="1" x14ac:dyDescent="0.3">
      <c r="A1" s="1093"/>
      <c r="B1" s="823"/>
      <c r="C1" s="824"/>
      <c r="D1" s="1099"/>
      <c r="E1" s="842"/>
      <c r="F1" s="842"/>
      <c r="G1" s="842"/>
      <c r="H1" s="842"/>
      <c r="I1" s="843"/>
      <c r="J1" s="1093"/>
      <c r="K1" s="823"/>
      <c r="L1" s="824"/>
      <c r="M1" s="913" t="str">
        <f>'Front Page'!A13</f>
        <v>Mechanical  Calculations</v>
      </c>
      <c r="N1" s="842"/>
      <c r="O1" s="842"/>
      <c r="P1" s="842"/>
      <c r="Q1" s="842"/>
      <c r="R1" s="843"/>
      <c r="S1" s="779"/>
      <c r="T1" s="5"/>
      <c r="U1" s="5"/>
      <c r="V1" s="5"/>
    </row>
    <row r="2" spans="1:22" ht="16.5" customHeight="1" thickBot="1" x14ac:dyDescent="0.3">
      <c r="A2" s="825"/>
      <c r="B2" s="809"/>
      <c r="C2" s="826"/>
      <c r="D2" s="1098"/>
      <c r="E2" s="831"/>
      <c r="F2" s="831"/>
      <c r="G2" s="831"/>
      <c r="H2" s="831"/>
      <c r="I2" s="832"/>
      <c r="J2" s="825"/>
      <c r="K2" s="809"/>
      <c r="L2" s="826"/>
      <c r="M2" s="839"/>
      <c r="N2" s="831"/>
      <c r="O2" s="831"/>
      <c r="P2" s="831"/>
      <c r="Q2" s="831"/>
      <c r="R2" s="832"/>
      <c r="S2" s="780"/>
      <c r="T2" s="5"/>
      <c r="U2" s="5"/>
      <c r="V2" s="5"/>
    </row>
    <row r="3" spans="1:22" ht="16.5" customHeight="1" thickBot="1" x14ac:dyDescent="0.3">
      <c r="A3" s="827"/>
      <c r="B3" s="828"/>
      <c r="C3" s="829"/>
      <c r="D3" s="1098" t="s">
        <v>2458</v>
      </c>
      <c r="E3" s="831"/>
      <c r="F3" s="831"/>
      <c r="G3" s="831"/>
      <c r="H3" s="831"/>
      <c r="I3" s="832"/>
      <c r="J3" s="827"/>
      <c r="K3" s="828"/>
      <c r="L3" s="829"/>
      <c r="M3" s="1098" t="s">
        <v>2458</v>
      </c>
      <c r="N3" s="831"/>
      <c r="O3" s="831"/>
      <c r="P3" s="831"/>
      <c r="Q3" s="831"/>
      <c r="R3" s="832"/>
      <c r="S3" s="5"/>
      <c r="T3" s="5"/>
      <c r="U3" s="5"/>
      <c r="V3" s="5"/>
    </row>
    <row r="4" spans="1:22" ht="16.5" customHeight="1" thickTop="1" thickBot="1" x14ac:dyDescent="0.3">
      <c r="A4" s="1087"/>
      <c r="B4" s="831"/>
      <c r="C4" s="832"/>
      <c r="D4" s="1088" t="s">
        <v>1</v>
      </c>
      <c r="E4" s="832"/>
      <c r="F4" s="1089"/>
      <c r="G4" s="843"/>
      <c r="H4" s="781"/>
      <c r="I4" s="782"/>
      <c r="J4" s="1087"/>
      <c r="K4" s="831"/>
      <c r="L4" s="832"/>
      <c r="M4" s="1088" t="s">
        <v>1</v>
      </c>
      <c r="N4" s="832"/>
      <c r="O4" s="1089"/>
      <c r="P4" s="843"/>
      <c r="Q4" s="781"/>
      <c r="R4" s="782"/>
      <c r="S4" s="5"/>
      <c r="T4" s="5"/>
      <c r="U4" s="5"/>
      <c r="V4" s="5"/>
    </row>
    <row r="5" spans="1:22" ht="15.75" customHeight="1" thickBot="1" x14ac:dyDescent="0.3">
      <c r="A5" s="1090"/>
      <c r="B5" s="834"/>
      <c r="C5" s="835"/>
      <c r="D5" s="1091" t="s">
        <v>4</v>
      </c>
      <c r="E5" s="835"/>
      <c r="F5" s="1092"/>
      <c r="G5" s="835"/>
      <c r="H5" s="783" t="s">
        <v>5</v>
      </c>
      <c r="I5" s="784"/>
      <c r="J5" s="1090"/>
      <c r="K5" s="834"/>
      <c r="L5" s="835"/>
      <c r="M5" s="1091" t="s">
        <v>4</v>
      </c>
      <c r="N5" s="835"/>
      <c r="O5" s="1092"/>
      <c r="P5" s="835"/>
      <c r="Q5" s="783" t="s">
        <v>5</v>
      </c>
      <c r="R5" s="784"/>
      <c r="S5" s="5"/>
      <c r="T5" s="5"/>
      <c r="U5" s="5"/>
      <c r="V5" s="5"/>
    </row>
    <row r="6" spans="1:22" ht="15.75" customHeight="1" thickTop="1" x14ac:dyDescent="0.25">
      <c r="A6" s="785"/>
      <c r="B6" s="785"/>
      <c r="C6" s="785"/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5"/>
      <c r="T6" s="5"/>
      <c r="U6" s="5"/>
      <c r="V6" s="5"/>
    </row>
    <row r="7" spans="1:22" ht="18" customHeight="1" x14ac:dyDescent="0.25">
      <c r="A7" s="5"/>
      <c r="B7" s="5"/>
      <c r="C7" s="5"/>
      <c r="D7" s="5"/>
      <c r="E7" s="5"/>
      <c r="F7" s="5"/>
      <c r="G7" s="5"/>
      <c r="H7" s="5"/>
      <c r="I7" s="5"/>
      <c r="J7" s="1097" t="s">
        <v>2459</v>
      </c>
      <c r="K7" s="809"/>
      <c r="L7" s="809"/>
      <c r="M7" s="809"/>
      <c r="N7" s="809"/>
      <c r="O7" s="809"/>
      <c r="P7" s="809"/>
      <c r="Q7" s="809"/>
      <c r="R7" s="5"/>
      <c r="S7" s="5"/>
      <c r="T7" s="5"/>
      <c r="U7" s="5"/>
      <c r="V7" s="5"/>
    </row>
    <row r="8" spans="1:2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8" customHeight="1" x14ac:dyDescent="0.25">
      <c r="A9" s="786" t="s">
        <v>1302</v>
      </c>
      <c r="B9" s="5"/>
      <c r="C9" s="5"/>
      <c r="D9" s="5"/>
      <c r="E9" s="5"/>
      <c r="F9" s="5"/>
      <c r="G9" s="5"/>
      <c r="H9" s="5"/>
      <c r="I9" s="5"/>
      <c r="J9" s="786" t="s">
        <v>1302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8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25">
      <c r="A11" s="787"/>
      <c r="B11" s="788"/>
      <c r="C11" s="5"/>
      <c r="D11" s="5"/>
      <c r="E11" s="5"/>
      <c r="F11" s="5"/>
      <c r="G11" s="5"/>
      <c r="H11" s="5"/>
      <c r="I11" s="5"/>
      <c r="J11" s="787"/>
      <c r="K11" s="788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25">
      <c r="A12" s="787"/>
      <c r="B12" s="5"/>
      <c r="C12" s="5"/>
      <c r="D12" s="5"/>
      <c r="E12" s="5"/>
      <c r="F12" s="5"/>
      <c r="G12" s="5"/>
      <c r="H12" s="5"/>
      <c r="I12" s="5"/>
      <c r="J12" s="78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25">
      <c r="A13" s="789"/>
      <c r="B13" s="5"/>
      <c r="C13" s="5"/>
      <c r="D13" s="5"/>
      <c r="E13" s="5"/>
      <c r="F13" s="5"/>
      <c r="G13" s="5"/>
      <c r="H13" s="5"/>
      <c r="I13" s="5"/>
      <c r="J13" s="78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x14ac:dyDescent="0.25">
      <c r="A14" s="789"/>
      <c r="B14" s="790"/>
      <c r="C14" s="5"/>
      <c r="D14" s="5"/>
      <c r="E14" s="5"/>
      <c r="F14" s="5"/>
      <c r="G14" s="5"/>
      <c r="H14" s="5"/>
      <c r="I14" s="5"/>
      <c r="J14" s="789"/>
      <c r="K14" s="79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x14ac:dyDescent="0.25">
      <c r="A15" s="789"/>
      <c r="B15" s="790"/>
      <c r="C15" s="5"/>
      <c r="D15" s="5"/>
      <c r="E15" s="5"/>
      <c r="F15" s="5"/>
      <c r="G15" s="5"/>
      <c r="H15" s="5"/>
      <c r="I15" s="5"/>
      <c r="J15" s="789"/>
      <c r="K15" s="79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x14ac:dyDescent="0.25">
      <c r="A16" s="789"/>
      <c r="B16" s="790"/>
      <c r="C16" s="5"/>
      <c r="D16" s="5"/>
      <c r="E16" s="5"/>
      <c r="F16" s="5"/>
      <c r="G16" s="5"/>
      <c r="H16" s="5"/>
      <c r="I16" s="5"/>
      <c r="J16" s="789"/>
      <c r="K16" s="79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25">
      <c r="A17" s="789"/>
      <c r="B17" s="790"/>
      <c r="C17" s="5"/>
      <c r="D17" s="5"/>
      <c r="E17" s="5"/>
      <c r="F17" s="5"/>
      <c r="G17" s="5"/>
      <c r="H17" s="5"/>
      <c r="I17" s="5"/>
      <c r="J17" s="789"/>
      <c r="K17" s="79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5">
      <c r="A18" s="789"/>
      <c r="B18" s="791"/>
      <c r="C18" s="5"/>
      <c r="D18" s="5"/>
      <c r="E18" s="5"/>
      <c r="F18" s="5"/>
      <c r="G18" s="5"/>
      <c r="H18" s="5"/>
      <c r="I18" s="5"/>
      <c r="J18" s="789"/>
      <c r="K18" s="791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5">
      <c r="A19" s="789"/>
      <c r="B19" s="790"/>
      <c r="C19" s="5"/>
      <c r="D19" s="5"/>
      <c r="E19" s="5"/>
      <c r="F19" s="5"/>
      <c r="G19" s="5"/>
      <c r="H19" s="5"/>
      <c r="I19" s="5"/>
      <c r="J19" s="789"/>
      <c r="K19" s="79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787"/>
      <c r="B21" s="5"/>
      <c r="C21" s="5"/>
      <c r="D21" s="5"/>
      <c r="E21" s="5"/>
      <c r="F21" s="5"/>
      <c r="G21" s="5"/>
      <c r="H21" s="5"/>
      <c r="I21" s="5"/>
      <c r="J21" s="78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5">
      <c r="A22" s="787"/>
      <c r="B22" s="792"/>
      <c r="C22" s="5"/>
      <c r="D22" s="5"/>
      <c r="E22" s="5"/>
      <c r="F22" s="5"/>
      <c r="G22" s="5"/>
      <c r="H22" s="5"/>
      <c r="I22" s="5"/>
      <c r="J22" s="787"/>
      <c r="K22" s="792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8" customHeight="1" x14ac:dyDescent="0.25">
      <c r="A25" s="786"/>
      <c r="B25" s="5"/>
      <c r="C25" s="5"/>
      <c r="D25" s="5"/>
      <c r="E25" s="5"/>
      <c r="F25" s="5"/>
      <c r="G25" s="5"/>
      <c r="H25" s="5"/>
      <c r="I25" s="5"/>
      <c r="J25" s="78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790" t="s">
        <v>117</v>
      </c>
      <c r="B26" s="793">
        <f>'Main Dimensions Calcs'!E87/1000</f>
        <v>0.32</v>
      </c>
      <c r="C26" s="794" t="s">
        <v>2460</v>
      </c>
      <c r="D26" s="5"/>
      <c r="E26" s="5"/>
      <c r="F26" s="5"/>
      <c r="G26" s="5"/>
      <c r="H26" s="5"/>
      <c r="I26" s="5"/>
      <c r="J26" s="790" t="s">
        <v>117</v>
      </c>
      <c r="K26" s="793">
        <f>B26*1000/25.4</f>
        <v>12.598425196850394</v>
      </c>
      <c r="L26" s="795" t="s">
        <v>2461</v>
      </c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25">
      <c r="A27" s="790" t="s">
        <v>158</v>
      </c>
      <c r="B27" s="796">
        <f>'Main Dimensions Calcs'!E86-B26</f>
        <v>0.58000000000000007</v>
      </c>
      <c r="C27" s="794" t="s">
        <v>2462</v>
      </c>
      <c r="D27" s="5"/>
      <c r="E27" s="5"/>
      <c r="F27" s="5"/>
      <c r="G27" s="5"/>
      <c r="H27" s="5"/>
      <c r="I27" s="5"/>
      <c r="J27" s="790" t="s">
        <v>158</v>
      </c>
      <c r="K27" s="796">
        <f>B27*1000/25.4</f>
        <v>22.834645669291344</v>
      </c>
      <c r="L27" s="795" t="s">
        <v>2463</v>
      </c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5">
      <c r="A28" s="790" t="s">
        <v>164</v>
      </c>
      <c r="B28" s="793">
        <f>('Main Dimensions Calcs'!E85+'Main Dimensions Calcs'!E84)/1000</f>
        <v>0.25</v>
      </c>
      <c r="C28" s="794" t="s">
        <v>2464</v>
      </c>
      <c r="D28" s="5"/>
      <c r="E28" s="5"/>
      <c r="F28" s="5"/>
      <c r="G28" s="5"/>
      <c r="H28" s="5"/>
      <c r="I28" s="5"/>
      <c r="J28" s="790" t="s">
        <v>164</v>
      </c>
      <c r="K28" s="793">
        <f>B28*1000/25.4</f>
        <v>9.8425196850393704</v>
      </c>
      <c r="L28" s="795" t="s">
        <v>2465</v>
      </c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5">
      <c r="A29" s="790" t="s">
        <v>2466</v>
      </c>
      <c r="B29" s="797">
        <v>1</v>
      </c>
      <c r="C29" s="794" t="s">
        <v>2467</v>
      </c>
      <c r="D29" s="5"/>
      <c r="E29" s="5"/>
      <c r="F29" s="5"/>
      <c r="G29" s="5"/>
      <c r="H29" s="5"/>
      <c r="I29" s="5"/>
      <c r="J29" s="790" t="s">
        <v>2466</v>
      </c>
      <c r="K29" s="796">
        <f>B29*1000/25.4</f>
        <v>39.370078740157481</v>
      </c>
      <c r="L29" s="795" t="s">
        <v>2468</v>
      </c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5">
      <c r="A30" s="790" t="s">
        <v>1157</v>
      </c>
      <c r="B30" s="796">
        <f>'Cellular Glass Selection'!B18*9.8/'Cellular Glass Selection'!B19</f>
        <v>38.347252041889107</v>
      </c>
      <c r="C30" s="794" t="s">
        <v>2469</v>
      </c>
      <c r="D30" s="5"/>
      <c r="E30" s="5"/>
      <c r="F30" s="5"/>
      <c r="G30" s="5"/>
      <c r="H30" s="5"/>
      <c r="I30" s="5"/>
      <c r="J30" s="790" t="s">
        <v>1157</v>
      </c>
      <c r="K30" s="796">
        <f>B30*1000*0.225/3.281</f>
        <v>2629.7262143934927</v>
      </c>
      <c r="L30" s="794" t="s">
        <v>2469</v>
      </c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5">
      <c r="A31" s="790" t="s">
        <v>1440</v>
      </c>
      <c r="B31" s="796">
        <f>'Earthquake API 650 Inner Tank'!B198</f>
        <v>69.042077223560909</v>
      </c>
      <c r="C31" s="794" t="s">
        <v>2470</v>
      </c>
      <c r="D31" s="5"/>
      <c r="E31" s="5"/>
      <c r="F31" s="5"/>
      <c r="G31" s="5"/>
      <c r="H31" s="5"/>
      <c r="I31" s="5"/>
      <c r="J31" s="790" t="s">
        <v>1440</v>
      </c>
      <c r="K31" s="796">
        <f>B31*0.225*1000</f>
        <v>15534.467375301205</v>
      </c>
      <c r="L31" s="795" t="s">
        <v>2471</v>
      </c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5">
      <c r="A32" s="790" t="s">
        <v>1075</v>
      </c>
      <c r="B32" s="793">
        <f>'Main Dimensions Calcs'!D61*4</f>
        <v>240</v>
      </c>
      <c r="C32" s="794" t="s">
        <v>2472</v>
      </c>
      <c r="D32" s="5"/>
      <c r="E32" s="5"/>
      <c r="F32" s="5"/>
      <c r="G32" s="5"/>
      <c r="H32" s="5"/>
      <c r="I32" s="5"/>
      <c r="J32" s="790" t="s">
        <v>1075</v>
      </c>
      <c r="K32" s="793">
        <f>B32</f>
        <v>240</v>
      </c>
      <c r="L32" s="794" t="s">
        <v>2472</v>
      </c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5">
      <c r="A33" s="790" t="s">
        <v>2473</v>
      </c>
      <c r="B33" s="797">
        <v>20</v>
      </c>
      <c r="C33" s="794" t="s">
        <v>2474</v>
      </c>
      <c r="D33" s="5"/>
      <c r="E33" s="5"/>
      <c r="F33" s="5"/>
      <c r="G33" s="5"/>
      <c r="H33" s="5"/>
      <c r="I33" s="5"/>
      <c r="J33" s="790" t="s">
        <v>2473</v>
      </c>
      <c r="K33" s="793">
        <f>B33/25.4</f>
        <v>0.78740157480314965</v>
      </c>
      <c r="L33" s="795" t="s">
        <v>2475</v>
      </c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5">
      <c r="A34" s="790" t="s">
        <v>2476</v>
      </c>
      <c r="B34" s="797">
        <v>420</v>
      </c>
      <c r="C34" s="794" t="s">
        <v>2477</v>
      </c>
      <c r="D34" s="5"/>
      <c r="E34" s="5"/>
      <c r="F34" s="5"/>
      <c r="G34" s="5"/>
      <c r="H34" s="5"/>
      <c r="I34" s="5"/>
      <c r="J34" s="790" t="s">
        <v>2476</v>
      </c>
      <c r="K34" s="793">
        <f>B34*145.04</f>
        <v>60916.799999999996</v>
      </c>
      <c r="L34" s="795" t="s">
        <v>2478</v>
      </c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25">
      <c r="A35" s="790" t="s">
        <v>908</v>
      </c>
      <c r="B35" s="796">
        <f>'Main Dimensions Calcs'!D53/1000</f>
        <v>20.6</v>
      </c>
      <c r="C35" s="794" t="s">
        <v>2479</v>
      </c>
      <c r="D35" s="5"/>
      <c r="E35" s="5"/>
      <c r="F35" s="5"/>
      <c r="G35" s="5"/>
      <c r="H35" s="5"/>
      <c r="I35" s="5"/>
      <c r="J35" s="790" t="s">
        <v>908</v>
      </c>
      <c r="K35" s="796">
        <f>B35*1000/25.4</f>
        <v>811.02362204724409</v>
      </c>
      <c r="L35" s="795" t="s">
        <v>2480</v>
      </c>
      <c r="M35" s="5"/>
      <c r="N35" s="5"/>
      <c r="O35" s="5"/>
      <c r="P35" s="5"/>
      <c r="Q35" s="5"/>
      <c r="R35" s="5"/>
      <c r="S35" s="794" t="s">
        <v>2481</v>
      </c>
      <c r="T35" s="794">
        <f>(B35+B26*2-(B26+B27))</f>
        <v>20.340000000000003</v>
      </c>
      <c r="U35" s="5"/>
      <c r="V35" s="5"/>
    </row>
    <row r="36" spans="1:22" x14ac:dyDescent="0.25">
      <c r="A36" s="790" t="s">
        <v>2482</v>
      </c>
      <c r="B36" s="797">
        <v>16</v>
      </c>
      <c r="C36" s="794" t="s">
        <v>2483</v>
      </c>
      <c r="D36" s="5"/>
      <c r="E36" s="5"/>
      <c r="F36" s="5"/>
      <c r="G36" s="5"/>
      <c r="H36" s="5"/>
      <c r="I36" s="5"/>
      <c r="J36" s="790" t="s">
        <v>2482</v>
      </c>
      <c r="K36" s="793">
        <f>B36</f>
        <v>16</v>
      </c>
      <c r="L36" s="794" t="s">
        <v>2483</v>
      </c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25">
      <c r="A37" s="790" t="s">
        <v>2484</v>
      </c>
      <c r="B37" s="797">
        <v>8</v>
      </c>
      <c r="C37" s="794" t="s">
        <v>2485</v>
      </c>
      <c r="D37" s="5"/>
      <c r="E37" s="5"/>
      <c r="F37" s="5"/>
      <c r="G37" s="5"/>
      <c r="H37" s="5"/>
      <c r="I37" s="5"/>
      <c r="J37" s="790" t="s">
        <v>2484</v>
      </c>
      <c r="K37" s="793">
        <f>B37/25.4</f>
        <v>0.31496062992125984</v>
      </c>
      <c r="L37" s="795" t="s">
        <v>2486</v>
      </c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x14ac:dyDescent="0.25">
      <c r="A38" s="5"/>
      <c r="B38" s="788"/>
      <c r="C38" s="5"/>
      <c r="D38" s="5"/>
      <c r="E38" s="5"/>
      <c r="F38" s="5"/>
      <c r="G38" s="5"/>
      <c r="H38" s="5"/>
      <c r="I38" s="5"/>
      <c r="J38" s="5"/>
      <c r="K38" s="788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25">
      <c r="A39" s="5"/>
      <c r="B39" s="788"/>
      <c r="C39" s="5"/>
      <c r="D39" s="5"/>
      <c r="E39" s="5"/>
      <c r="F39" s="5"/>
      <c r="G39" s="5"/>
      <c r="H39" s="5"/>
      <c r="I39" s="5"/>
      <c r="J39" s="5"/>
      <c r="K39" s="788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8" customHeight="1" x14ac:dyDescent="0.25">
      <c r="A40" s="798" t="s">
        <v>2487</v>
      </c>
      <c r="B40" s="799"/>
      <c r="C40" s="786"/>
      <c r="D40" s="786"/>
      <c r="E40" s="5"/>
      <c r="F40" s="5"/>
      <c r="G40" s="5"/>
      <c r="H40" s="5"/>
      <c r="I40" s="5"/>
      <c r="J40" s="798" t="s">
        <v>2487</v>
      </c>
      <c r="K40" s="799"/>
      <c r="L40" s="786"/>
      <c r="M40" s="786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25">
      <c r="A42" s="790" t="s">
        <v>2488</v>
      </c>
      <c r="B42" s="796">
        <f>B31*(B26-(B26+B27)/2)+(B30*B27*B27/2)</f>
        <v>-2.5254622456171738</v>
      </c>
      <c r="C42" s="794" t="s">
        <v>2489</v>
      </c>
      <c r="D42" s="5"/>
      <c r="E42" s="5"/>
      <c r="F42" s="5"/>
      <c r="G42" s="5"/>
      <c r="H42" s="5"/>
      <c r="I42" s="5"/>
      <c r="J42" s="790" t="s">
        <v>2488</v>
      </c>
      <c r="K42" s="796">
        <f>B42*0.225*1000*3.281</f>
        <v>-1864.3593662707383</v>
      </c>
      <c r="L42" s="795" t="s">
        <v>2490</v>
      </c>
      <c r="M42" s="5"/>
      <c r="N42" s="5"/>
      <c r="O42" s="5"/>
      <c r="P42" s="5"/>
      <c r="Q42" s="5"/>
      <c r="R42" s="5"/>
      <c r="S42" s="794" t="s">
        <v>2491</v>
      </c>
      <c r="T42" s="794">
        <f>2/(B26+B27)*(B31+B27*B30)/B29</f>
        <v>202.85218535079241</v>
      </c>
      <c r="U42" s="5"/>
      <c r="V42" s="5"/>
    </row>
    <row r="43" spans="1:22" x14ac:dyDescent="0.25">
      <c r="A43" s="790" t="s">
        <v>2492</v>
      </c>
      <c r="B43" s="796">
        <f>B31+B30*B27</f>
        <v>91.283483407856593</v>
      </c>
      <c r="C43" s="794" t="s">
        <v>2493</v>
      </c>
      <c r="D43" s="5"/>
      <c r="E43" s="5"/>
      <c r="F43" s="5"/>
      <c r="G43" s="5"/>
      <c r="H43" s="5"/>
      <c r="I43" s="5"/>
      <c r="J43" s="790" t="s">
        <v>2492</v>
      </c>
      <c r="K43" s="796">
        <f>B43*0.225*1000</f>
        <v>20538.783766767734</v>
      </c>
      <c r="L43" s="795" t="s">
        <v>2494</v>
      </c>
      <c r="M43" s="5"/>
      <c r="N43" s="5"/>
      <c r="O43" s="5"/>
      <c r="P43" s="5"/>
      <c r="Q43" s="5"/>
      <c r="R43" s="5"/>
      <c r="S43" s="794" t="s">
        <v>2495</v>
      </c>
      <c r="T43" s="794">
        <f>6*B27/((B26+B27)^2)*(B31+B27*B30/2)/B29</f>
        <v>344.40305617119304</v>
      </c>
      <c r="U43" s="5"/>
      <c r="V43" s="5"/>
    </row>
    <row r="44" spans="1:22" x14ac:dyDescent="0.25">
      <c r="A44" s="800" t="s">
        <v>2496</v>
      </c>
      <c r="B44" s="796">
        <f>T43-T42</f>
        <v>141.55087082040063</v>
      </c>
      <c r="C44" s="794" t="s">
        <v>1814</v>
      </c>
      <c r="D44" s="5"/>
      <c r="E44" s="5"/>
      <c r="F44" s="5"/>
      <c r="G44" s="5"/>
      <c r="H44" s="5"/>
      <c r="I44" s="5"/>
      <c r="J44" s="800" t="s">
        <v>2496</v>
      </c>
      <c r="K44" s="796">
        <f>B44*0.145</f>
        <v>20.524876268958089</v>
      </c>
      <c r="L44" s="795" t="s">
        <v>926</v>
      </c>
      <c r="M44" s="5"/>
      <c r="N44" s="5"/>
      <c r="O44" s="5"/>
      <c r="P44" s="5"/>
      <c r="Q44" s="5"/>
      <c r="R44" s="5"/>
      <c r="S44" s="794" t="s">
        <v>408</v>
      </c>
      <c r="T44" s="794">
        <f>(B44-B45)/(B26+B27)</f>
        <v>89.166173655565387</v>
      </c>
      <c r="U44" s="794" t="s">
        <v>2497</v>
      </c>
      <c r="V44" s="5"/>
    </row>
    <row r="45" spans="1:22" x14ac:dyDescent="0.25">
      <c r="A45" s="800" t="s">
        <v>2498</v>
      </c>
      <c r="B45" s="796">
        <f>T42-B44</f>
        <v>61.301314530391778</v>
      </c>
      <c r="C45" s="794" t="s">
        <v>1814</v>
      </c>
      <c r="D45" s="5"/>
      <c r="E45" s="5"/>
      <c r="F45" s="5"/>
      <c r="G45" s="5"/>
      <c r="H45" s="5"/>
      <c r="I45" s="5"/>
      <c r="J45" s="800" t="s">
        <v>2498</v>
      </c>
      <c r="K45" s="796">
        <f>B45*0.145</f>
        <v>8.8886906069068079</v>
      </c>
      <c r="L45" s="795" t="s">
        <v>926</v>
      </c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25">
      <c r="A46" s="800" t="s">
        <v>2499</v>
      </c>
      <c r="B46" s="796">
        <f>(B44+B45)/2</f>
        <v>101.42609267539621</v>
      </c>
      <c r="C46" s="794" t="s">
        <v>1814</v>
      </c>
      <c r="D46" s="5"/>
      <c r="E46" s="5"/>
      <c r="F46" s="5"/>
      <c r="G46" s="5"/>
      <c r="H46" s="5"/>
      <c r="I46" s="5"/>
      <c r="J46" s="800" t="s">
        <v>2499</v>
      </c>
      <c r="K46" s="796">
        <f>B46*0.145</f>
        <v>14.706783437932449</v>
      </c>
      <c r="L46" s="795" t="s">
        <v>926</v>
      </c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25">
      <c r="A47" s="800" t="s">
        <v>2500</v>
      </c>
      <c r="B47" s="796">
        <f>MAX(V48:V87)</f>
        <v>2.4920354410938157</v>
      </c>
      <c r="C47" s="794" t="s">
        <v>2501</v>
      </c>
      <c r="D47" s="5"/>
      <c r="E47" s="5"/>
      <c r="F47" s="5"/>
      <c r="G47" s="5"/>
      <c r="H47" s="5"/>
      <c r="I47" s="5"/>
      <c r="J47" s="800" t="s">
        <v>2500</v>
      </c>
      <c r="K47" s="796">
        <f>B47*0.225*1000*3.281</f>
        <v>1839.6828635014822</v>
      </c>
      <c r="L47" s="795" t="s">
        <v>2502</v>
      </c>
      <c r="M47" s="5"/>
      <c r="N47" s="5"/>
      <c r="O47" s="5"/>
      <c r="P47" s="5"/>
      <c r="Q47" s="5"/>
      <c r="R47" s="5"/>
      <c r="S47" s="5"/>
      <c r="T47" s="5"/>
      <c r="U47" s="794" t="s">
        <v>265</v>
      </c>
      <c r="V47" s="5"/>
    </row>
    <row r="48" spans="1:22" x14ac:dyDescent="0.25">
      <c r="A48" s="800" t="s">
        <v>2503</v>
      </c>
      <c r="B48" s="796">
        <f>MIN(V48:V87)</f>
        <v>-21.634829806371272</v>
      </c>
      <c r="C48" s="794" t="s">
        <v>2504</v>
      </c>
      <c r="D48" s="5"/>
      <c r="E48" s="5"/>
      <c r="F48" s="5"/>
      <c r="G48" s="5"/>
      <c r="H48" s="5"/>
      <c r="I48" s="5"/>
      <c r="J48" s="800" t="s">
        <v>2503</v>
      </c>
      <c r="K48" s="796">
        <f>B48*0.225*1000*3.281</f>
        <v>-15971.372233808434</v>
      </c>
      <c r="L48" s="795" t="s">
        <v>2505</v>
      </c>
      <c r="M48" s="5"/>
      <c r="N48" s="5"/>
      <c r="O48" s="5"/>
      <c r="P48" s="5"/>
      <c r="Q48" s="5"/>
      <c r="R48" s="5"/>
      <c r="S48" s="5"/>
      <c r="T48" s="794">
        <v>2.5000000000000001E-2</v>
      </c>
      <c r="U48" s="794">
        <f t="shared" ref="U48:U87" si="0">T48*($B$26+$B$27)</f>
        <v>2.2500000000000006E-2</v>
      </c>
      <c r="V48" s="794">
        <f t="shared" ref="V48:V87" si="1">IF(U48&lt;$B$26,(2*$B$45+$T$44*U48)/2*U48*U48*1/3,(2*$B$45+$T$44*U48)/2*U48*U48*1/3-$B$31*(U48-$B$26)-$B$30*(U48-$B$26)^2/2+$B$42)</f>
        <v>1.0513873234802856E-2</v>
      </c>
    </row>
    <row r="49" spans="1:22" x14ac:dyDescent="0.25">
      <c r="A49" s="800" t="s">
        <v>2506</v>
      </c>
      <c r="B49" s="796">
        <f>MAX(ABS(((B45+T44*B26/2)*0.4)),ABS(((B45+T44*B26/2)*0.4)-B31))</f>
        <v>38.814916297448008</v>
      </c>
      <c r="C49" s="794" t="s">
        <v>2507</v>
      </c>
      <c r="D49" s="5"/>
      <c r="E49" s="5"/>
      <c r="F49" s="5"/>
      <c r="G49" s="5"/>
      <c r="H49" s="5"/>
      <c r="I49" s="5"/>
      <c r="J49" s="800" t="s">
        <v>2506</v>
      </c>
      <c r="K49" s="796">
        <f>B49*0.225*1000</f>
        <v>8733.3561669258015</v>
      </c>
      <c r="L49" s="795" t="s">
        <v>2508</v>
      </c>
      <c r="M49" s="5"/>
      <c r="N49" s="5"/>
      <c r="O49" s="5"/>
      <c r="P49" s="5"/>
      <c r="Q49" s="5"/>
      <c r="R49" s="5"/>
      <c r="S49" s="5"/>
      <c r="T49" s="794">
        <v>0.05</v>
      </c>
      <c r="U49" s="794">
        <f t="shared" si="0"/>
        <v>4.5000000000000012E-2</v>
      </c>
      <c r="V49" s="794">
        <f t="shared" si="1"/>
        <v>4.273259857040837E-2</v>
      </c>
    </row>
    <row r="50" spans="1:2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794">
        <v>7.4999999999999997E-2</v>
      </c>
      <c r="U50" s="794">
        <f t="shared" si="0"/>
        <v>6.7500000000000004E-2</v>
      </c>
      <c r="V50" s="794">
        <f t="shared" si="1"/>
        <v>9.7671834453611939E-2</v>
      </c>
    </row>
    <row r="51" spans="1:2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794">
        <v>0.1</v>
      </c>
      <c r="U51" s="794">
        <f t="shared" si="0"/>
        <v>9.0000000000000024E-2</v>
      </c>
      <c r="V51" s="794">
        <f t="shared" si="1"/>
        <v>0.17634723933120908</v>
      </c>
    </row>
    <row r="52" spans="1:22" ht="18" customHeight="1" x14ac:dyDescent="0.25">
      <c r="A52" s="798" t="s">
        <v>2509</v>
      </c>
      <c r="B52" s="5"/>
      <c r="C52" s="5"/>
      <c r="D52" s="5"/>
      <c r="E52" s="5"/>
      <c r="F52" s="5"/>
      <c r="G52" s="5"/>
      <c r="H52" s="5"/>
      <c r="I52" s="5"/>
      <c r="J52" s="798" t="s">
        <v>2509</v>
      </c>
      <c r="K52" s="5"/>
      <c r="L52" s="5"/>
      <c r="M52" s="5"/>
      <c r="N52" s="5"/>
      <c r="O52" s="5"/>
      <c r="P52" s="5"/>
      <c r="Q52" s="5"/>
      <c r="R52" s="5"/>
      <c r="S52" s="5"/>
      <c r="T52" s="794">
        <v>0.125</v>
      </c>
      <c r="U52" s="794">
        <f t="shared" si="0"/>
        <v>0.11250000000000002</v>
      </c>
      <c r="V52" s="794">
        <f t="shared" si="1"/>
        <v>0.27977447164999508</v>
      </c>
    </row>
    <row r="53" spans="1:2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794">
        <v>0.15</v>
      </c>
      <c r="U53" s="794">
        <f t="shared" si="0"/>
        <v>0.13500000000000001</v>
      </c>
      <c r="V53" s="794">
        <f t="shared" si="1"/>
        <v>0.40896918985676539</v>
      </c>
    </row>
    <row r="54" spans="1:22" x14ac:dyDescent="0.25">
      <c r="A54" s="790" t="s">
        <v>2148</v>
      </c>
      <c r="B54" s="796">
        <f>B56*B34/1000</f>
        <v>495.5752212389379</v>
      </c>
      <c r="C54" s="794" t="s">
        <v>2510</v>
      </c>
      <c r="D54" s="5"/>
      <c r="E54" s="5"/>
      <c r="F54" s="5"/>
      <c r="G54" s="5"/>
      <c r="H54" s="5"/>
      <c r="I54" s="5"/>
      <c r="J54" s="790" t="s">
        <v>2148</v>
      </c>
      <c r="K54" s="796">
        <f>B54*0.225*1000</f>
        <v>111504.42477876104</v>
      </c>
      <c r="L54" s="795" t="s">
        <v>2511</v>
      </c>
      <c r="M54" s="5"/>
      <c r="N54" s="5"/>
      <c r="O54" s="5"/>
      <c r="P54" s="5"/>
      <c r="Q54" s="5"/>
      <c r="R54" s="5"/>
      <c r="S54" s="5"/>
      <c r="T54" s="794">
        <v>0.17499999999999999</v>
      </c>
      <c r="U54" s="794">
        <f t="shared" si="0"/>
        <v>0.1575</v>
      </c>
      <c r="V54" s="794">
        <f t="shared" si="1"/>
        <v>0.56494705239831533</v>
      </c>
    </row>
    <row r="55" spans="1:22" x14ac:dyDescent="0.25">
      <c r="A55" s="790" t="s">
        <v>164</v>
      </c>
      <c r="B55" s="796">
        <f>(B54/(0.85*31000))</f>
        <v>1.8807408775671268E-2</v>
      </c>
      <c r="C55" s="794" t="s">
        <v>2512</v>
      </c>
      <c r="D55" s="5"/>
      <c r="E55" s="5"/>
      <c r="F55" s="5"/>
      <c r="G55" s="5"/>
      <c r="H55" s="5"/>
      <c r="I55" s="5"/>
      <c r="J55" s="790" t="s">
        <v>164</v>
      </c>
      <c r="K55" s="796">
        <f>B55*1000/25.4</f>
        <v>0.74044916439650654</v>
      </c>
      <c r="L55" s="795" t="s">
        <v>2513</v>
      </c>
      <c r="M55" s="5"/>
      <c r="N55" s="5"/>
      <c r="O55" s="5"/>
      <c r="P55" s="5"/>
      <c r="Q55" s="5"/>
      <c r="R55" s="5"/>
      <c r="S55" s="5"/>
      <c r="T55" s="794">
        <v>0.2</v>
      </c>
      <c r="U55" s="794">
        <f t="shared" si="0"/>
        <v>0.18000000000000005</v>
      </c>
      <c r="V55" s="794">
        <f t="shared" si="1"/>
        <v>0.74872371772144108</v>
      </c>
    </row>
    <row r="56" spans="1:22" x14ac:dyDescent="0.25">
      <c r="A56" s="790" t="s">
        <v>1904</v>
      </c>
      <c r="B56" s="796">
        <f>B33^2/4*PI()*B32/(T35*PI())</f>
        <v>1179.9410029498522</v>
      </c>
      <c r="C56" s="794" t="s">
        <v>2514</v>
      </c>
      <c r="D56" s="5"/>
      <c r="E56" s="5"/>
      <c r="F56" s="5"/>
      <c r="G56" s="5"/>
      <c r="H56" s="5"/>
      <c r="I56" s="5"/>
      <c r="J56" s="790" t="s">
        <v>1904</v>
      </c>
      <c r="K56" s="796">
        <f>B56*1000/(25.4*25.4)</f>
        <v>1828.9122123966958</v>
      </c>
      <c r="L56" s="795" t="s">
        <v>2515</v>
      </c>
      <c r="M56" s="5"/>
      <c r="N56" s="5"/>
      <c r="O56" s="5"/>
      <c r="P56" s="5"/>
      <c r="Q56" s="5"/>
      <c r="R56" s="5"/>
      <c r="S56" s="5"/>
      <c r="T56" s="794">
        <v>0.22500000000000001</v>
      </c>
      <c r="U56" s="794">
        <f t="shared" si="0"/>
        <v>0.20250000000000004</v>
      </c>
      <c r="V56" s="794">
        <f t="shared" si="1"/>
        <v>0.96131484427293723</v>
      </c>
    </row>
    <row r="57" spans="1:22" x14ac:dyDescent="0.25">
      <c r="A57" s="790" t="s">
        <v>2516</v>
      </c>
      <c r="B57" s="796">
        <f>B54*(B28-B55/2)</f>
        <v>119.23356242726726</v>
      </c>
      <c r="C57" s="794" t="s">
        <v>2517</v>
      </c>
      <c r="D57" s="5"/>
      <c r="E57" s="5"/>
      <c r="F57" s="5"/>
      <c r="G57" s="5"/>
      <c r="H57" s="5"/>
      <c r="I57" s="5"/>
      <c r="J57" s="790" t="s">
        <v>2516</v>
      </c>
      <c r="K57" s="796">
        <f>B57*0.225*1000*3.281</f>
        <v>88021.196622869364</v>
      </c>
      <c r="L57" s="795" t="s">
        <v>2518</v>
      </c>
      <c r="M57" s="5"/>
      <c r="N57" s="5"/>
      <c r="O57" s="5"/>
      <c r="P57" s="5"/>
      <c r="Q57" s="5"/>
      <c r="R57" s="5"/>
      <c r="S57" s="5"/>
      <c r="T57" s="794">
        <v>0.25</v>
      </c>
      <c r="U57" s="794">
        <f t="shared" si="0"/>
        <v>0.22500000000000003</v>
      </c>
      <c r="V57" s="794">
        <f t="shared" si="1"/>
        <v>1.2037360904995993</v>
      </c>
    </row>
    <row r="58" spans="1:22" x14ac:dyDescent="0.25">
      <c r="A58" s="790" t="s">
        <v>1504</v>
      </c>
      <c r="B58" s="796">
        <f>B37^2/4*PI()*B36</f>
        <v>804.24771931898704</v>
      </c>
      <c r="C58" s="794" t="s">
        <v>2519</v>
      </c>
      <c r="D58" s="5"/>
      <c r="E58" s="5"/>
      <c r="F58" s="5"/>
      <c r="G58" s="5"/>
      <c r="H58" s="5"/>
      <c r="I58" s="5"/>
      <c r="J58" s="790" t="s">
        <v>1504</v>
      </c>
      <c r="K58" s="796">
        <f>B58*1000/(25.4*25.4)</f>
        <v>1246.5864581173462</v>
      </c>
      <c r="L58" s="795" t="s">
        <v>2520</v>
      </c>
      <c r="M58" s="5"/>
      <c r="N58" s="5"/>
      <c r="O58" s="5"/>
      <c r="P58" s="5"/>
      <c r="Q58" s="5"/>
      <c r="R58" s="5"/>
      <c r="S58" s="5"/>
      <c r="T58" s="794">
        <v>0.27500000000000002</v>
      </c>
      <c r="U58" s="794">
        <f t="shared" si="0"/>
        <v>0.24750000000000005</v>
      </c>
      <c r="V58" s="794">
        <f t="shared" si="1"/>
        <v>1.477003114848223</v>
      </c>
    </row>
    <row r="59" spans="1:22" ht="15.75" customHeight="1" thickBo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794">
        <v>0.3</v>
      </c>
      <c r="U59" s="794">
        <f t="shared" si="0"/>
        <v>0.27</v>
      </c>
      <c r="V59" s="794">
        <f t="shared" si="1"/>
        <v>1.7821315757656027</v>
      </c>
    </row>
    <row r="60" spans="1:22" ht="17.25" customHeight="1" thickTop="1" thickBot="1" x14ac:dyDescent="0.3">
      <c r="A60" s="1093"/>
      <c r="B60" s="823"/>
      <c r="C60" s="824"/>
      <c r="D60" s="1099"/>
      <c r="E60" s="842"/>
      <c r="F60" s="842"/>
      <c r="G60" s="842"/>
      <c r="H60" s="842"/>
      <c r="I60" s="843"/>
      <c r="J60" s="1093"/>
      <c r="K60" s="823"/>
      <c r="L60" s="824"/>
      <c r="M60" s="1094" t="str">
        <f>M1</f>
        <v>Mechanical  Calculations</v>
      </c>
      <c r="N60" s="842"/>
      <c r="O60" s="842"/>
      <c r="P60" s="842"/>
      <c r="Q60" s="842"/>
      <c r="R60" s="859"/>
      <c r="S60" s="5"/>
      <c r="T60" s="794">
        <v>0.32500000000000001</v>
      </c>
      <c r="U60" s="794">
        <f t="shared" si="0"/>
        <v>0.29250000000000004</v>
      </c>
      <c r="V60" s="794">
        <f t="shared" si="1"/>
        <v>2.1201371316985358</v>
      </c>
    </row>
    <row r="61" spans="1:22" ht="16.5" customHeight="1" thickBot="1" x14ac:dyDescent="0.3">
      <c r="A61" s="825"/>
      <c r="B61" s="809"/>
      <c r="C61" s="826"/>
      <c r="D61" s="1098"/>
      <c r="E61" s="831"/>
      <c r="F61" s="831"/>
      <c r="G61" s="831"/>
      <c r="H61" s="831"/>
      <c r="I61" s="832"/>
      <c r="J61" s="825"/>
      <c r="K61" s="809"/>
      <c r="L61" s="826"/>
      <c r="M61" s="1095"/>
      <c r="N61" s="831"/>
      <c r="O61" s="831"/>
      <c r="P61" s="831"/>
      <c r="Q61" s="831"/>
      <c r="R61" s="854"/>
      <c r="S61" s="5"/>
      <c r="T61" s="794">
        <v>0.35</v>
      </c>
      <c r="U61" s="794">
        <f t="shared" si="0"/>
        <v>0.315</v>
      </c>
      <c r="V61" s="794">
        <f t="shared" si="1"/>
        <v>2.4920354410938157</v>
      </c>
    </row>
    <row r="62" spans="1:22" ht="16.5" customHeight="1" thickBot="1" x14ac:dyDescent="0.3">
      <c r="A62" s="827"/>
      <c r="B62" s="828"/>
      <c r="C62" s="829"/>
      <c r="D62" s="1098" t="s">
        <v>2458</v>
      </c>
      <c r="E62" s="831"/>
      <c r="F62" s="831"/>
      <c r="G62" s="831"/>
      <c r="H62" s="831"/>
      <c r="I62" s="832"/>
      <c r="J62" s="827"/>
      <c r="K62" s="828"/>
      <c r="L62" s="829"/>
      <c r="M62" s="1096" t="s">
        <v>2458</v>
      </c>
      <c r="N62" s="848"/>
      <c r="O62" s="848"/>
      <c r="P62" s="848"/>
      <c r="Q62" s="848"/>
      <c r="R62" s="849"/>
      <c r="S62" s="5"/>
      <c r="T62" s="794">
        <v>0.375</v>
      </c>
      <c r="U62" s="794">
        <f t="shared" si="0"/>
        <v>0.33750000000000002</v>
      </c>
      <c r="V62" s="794">
        <f t="shared" si="1"/>
        <v>-0.84072835760016607</v>
      </c>
    </row>
    <row r="63" spans="1:22" ht="16.5" customHeight="1" thickTop="1" thickBot="1" x14ac:dyDescent="0.3">
      <c r="A63" s="1087"/>
      <c r="B63" s="831"/>
      <c r="C63" s="832"/>
      <c r="D63" s="1088" t="s">
        <v>1</v>
      </c>
      <c r="E63" s="832"/>
      <c r="F63" s="1089"/>
      <c r="G63" s="843"/>
      <c r="H63" s="781"/>
      <c r="I63" s="782"/>
      <c r="J63" s="1087"/>
      <c r="K63" s="831"/>
      <c r="L63" s="832"/>
      <c r="M63" s="1088" t="s">
        <v>1</v>
      </c>
      <c r="N63" s="832"/>
      <c r="O63" s="1089"/>
      <c r="P63" s="843"/>
      <c r="Q63" s="781"/>
      <c r="R63" s="782"/>
      <c r="S63" s="5"/>
      <c r="T63" s="794">
        <v>0.4</v>
      </c>
      <c r="U63" s="794">
        <f t="shared" si="0"/>
        <v>0.3600000000000001</v>
      </c>
      <c r="V63" s="794">
        <f t="shared" si="1"/>
        <v>-1.9762501821345246</v>
      </c>
    </row>
    <row r="64" spans="1:22" ht="15.75" customHeight="1" thickBot="1" x14ac:dyDescent="0.3">
      <c r="A64" s="1090"/>
      <c r="B64" s="834"/>
      <c r="C64" s="835"/>
      <c r="D64" s="1091" t="s">
        <v>4</v>
      </c>
      <c r="E64" s="835"/>
      <c r="F64" s="1092"/>
      <c r="G64" s="835"/>
      <c r="H64" s="783" t="s">
        <v>5</v>
      </c>
      <c r="I64" s="784"/>
      <c r="J64" s="1090"/>
      <c r="K64" s="834"/>
      <c r="L64" s="835"/>
      <c r="M64" s="1091" t="s">
        <v>4</v>
      </c>
      <c r="N64" s="835"/>
      <c r="O64" s="1092"/>
      <c r="P64" s="835"/>
      <c r="Q64" s="783" t="s">
        <v>5</v>
      </c>
      <c r="R64" s="784"/>
      <c r="S64" s="5"/>
      <c r="T64" s="794">
        <v>0.42499999999999999</v>
      </c>
      <c r="U64" s="794">
        <f t="shared" si="0"/>
        <v>0.38250000000000006</v>
      </c>
      <c r="V64" s="794">
        <f t="shared" si="1"/>
        <v>-3.0942455742123496</v>
      </c>
    </row>
    <row r="65" spans="1:22" ht="15.75" customHeight="1" thickTop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794">
        <v>0.45</v>
      </c>
      <c r="U65" s="794">
        <f t="shared" si="0"/>
        <v>0.40500000000000008</v>
      </c>
      <c r="V65" s="794">
        <f t="shared" si="1"/>
        <v>-4.1936988753868558</v>
      </c>
    </row>
    <row r="66" spans="1:22" ht="18" customHeight="1" x14ac:dyDescent="0.25">
      <c r="A66" s="798" t="s">
        <v>2521</v>
      </c>
      <c r="B66" s="5"/>
      <c r="C66" s="5"/>
      <c r="D66" s="5"/>
      <c r="E66" s="5"/>
      <c r="F66" s="5"/>
      <c r="G66" s="5"/>
      <c r="H66" s="5"/>
      <c r="I66" s="5"/>
      <c r="J66" s="798" t="s">
        <v>2521</v>
      </c>
      <c r="K66" s="5"/>
      <c r="L66" s="5"/>
      <c r="M66" s="5"/>
      <c r="N66" s="5"/>
      <c r="O66" s="5"/>
      <c r="P66" s="5"/>
      <c r="Q66" s="5"/>
      <c r="R66" s="5"/>
      <c r="S66" s="5"/>
      <c r="T66" s="794">
        <v>0.47499999999999998</v>
      </c>
      <c r="U66" s="794">
        <f t="shared" si="0"/>
        <v>0.42750000000000005</v>
      </c>
      <c r="V66" s="794">
        <f t="shared" si="1"/>
        <v>-5.2735944272112398</v>
      </c>
    </row>
    <row r="67" spans="1:2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794">
        <v>0.5</v>
      </c>
      <c r="U67" s="794">
        <f t="shared" si="0"/>
        <v>0.45000000000000007</v>
      </c>
      <c r="V67" s="794">
        <f t="shared" si="1"/>
        <v>-6.332916571238715</v>
      </c>
    </row>
    <row r="68" spans="1:22" x14ac:dyDescent="0.25">
      <c r="A68" s="790" t="s">
        <v>2506</v>
      </c>
      <c r="B68" s="790">
        <f>0.17*1*5.57*1000*B28*0.75</f>
        <v>177.54375000000002</v>
      </c>
      <c r="C68" s="794" t="s">
        <v>2522</v>
      </c>
      <c r="D68" s="5"/>
      <c r="E68" s="5"/>
      <c r="F68" s="5"/>
      <c r="G68" s="5"/>
      <c r="H68" s="5"/>
      <c r="I68" s="5"/>
      <c r="J68" s="790" t="s">
        <v>2506</v>
      </c>
      <c r="K68" s="796">
        <f>B68*0.225*1000</f>
        <v>39947.34375</v>
      </c>
      <c r="L68" s="795" t="s">
        <v>2523</v>
      </c>
      <c r="M68" s="5"/>
      <c r="N68" s="5"/>
      <c r="O68" s="5"/>
      <c r="P68" s="5"/>
      <c r="Q68" s="5"/>
      <c r="R68" s="5"/>
      <c r="S68" s="5"/>
      <c r="T68" s="794">
        <v>0.52500000000000002</v>
      </c>
      <c r="U68" s="794">
        <f t="shared" si="0"/>
        <v>0.47250000000000009</v>
      </c>
      <c r="V68" s="794">
        <f t="shared" si="1"/>
        <v>-7.3706496490224769</v>
      </c>
    </row>
    <row r="69" spans="1:2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794">
        <v>0.55000000000000004</v>
      </c>
      <c r="U69" s="794">
        <f t="shared" si="0"/>
        <v>0.49500000000000011</v>
      </c>
      <c r="V69" s="794">
        <f t="shared" si="1"/>
        <v>-8.3857780021157353</v>
      </c>
    </row>
    <row r="70" spans="1:2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794">
        <v>0.57499999999999996</v>
      </c>
      <c r="U70" s="794">
        <f t="shared" si="0"/>
        <v>0.51750000000000007</v>
      </c>
      <c r="V70" s="794">
        <f t="shared" si="1"/>
        <v>-9.377285972071693</v>
      </c>
    </row>
    <row r="71" spans="1:22" ht="18" customHeight="1" x14ac:dyDescent="0.25">
      <c r="A71" s="798" t="s">
        <v>2524</v>
      </c>
      <c r="B71" s="5"/>
      <c r="C71" s="5"/>
      <c r="D71" s="5"/>
      <c r="E71" s="5"/>
      <c r="F71" s="5"/>
      <c r="G71" s="5"/>
      <c r="H71" s="5"/>
      <c r="I71" s="5"/>
      <c r="J71" s="798" t="s">
        <v>2524</v>
      </c>
      <c r="K71" s="5"/>
      <c r="L71" s="5"/>
      <c r="M71" s="5"/>
      <c r="N71" s="5"/>
      <c r="O71" s="5"/>
      <c r="P71" s="5"/>
      <c r="Q71" s="5"/>
      <c r="R71" s="5"/>
      <c r="S71" s="5"/>
      <c r="T71" s="794">
        <v>0.6</v>
      </c>
      <c r="U71" s="794">
        <f t="shared" si="0"/>
        <v>0.54</v>
      </c>
      <c r="V71" s="794">
        <f t="shared" si="1"/>
        <v>-10.344157900443552</v>
      </c>
    </row>
    <row r="72" spans="1:2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794">
        <v>0.625</v>
      </c>
      <c r="U72" s="794">
        <f t="shared" si="0"/>
        <v>0.56250000000000011</v>
      </c>
      <c r="V72" s="794">
        <f t="shared" si="1"/>
        <v>-11.285378128784526</v>
      </c>
    </row>
    <row r="73" spans="1:22" x14ac:dyDescent="0.25">
      <c r="A73" s="790" t="s">
        <v>1349</v>
      </c>
      <c r="B73" s="790">
        <f>(B26+B27)*1000*B28*1000</f>
        <v>225000.00000000003</v>
      </c>
      <c r="C73" s="794" t="s">
        <v>2525</v>
      </c>
      <c r="D73" s="5"/>
      <c r="E73" s="5"/>
      <c r="F73" s="5"/>
      <c r="G73" s="5"/>
      <c r="H73" s="5"/>
      <c r="I73" s="5"/>
      <c r="J73" s="790" t="s">
        <v>1349</v>
      </c>
      <c r="K73" s="796">
        <f>B73*1000/(25.4*25.4)</f>
        <v>348750.69750139507</v>
      </c>
      <c r="L73" s="795" t="s">
        <v>2526</v>
      </c>
      <c r="M73" s="5"/>
      <c r="N73" s="5"/>
      <c r="O73" s="5"/>
      <c r="P73" s="5"/>
      <c r="Q73" s="5"/>
      <c r="R73" s="5"/>
      <c r="S73" s="5"/>
      <c r="T73" s="794">
        <v>0.65</v>
      </c>
      <c r="U73" s="794">
        <f t="shared" si="0"/>
        <v>0.58500000000000008</v>
      </c>
      <c r="V73" s="794">
        <f t="shared" si="1"/>
        <v>-12.199930998647808</v>
      </c>
    </row>
    <row r="74" spans="1:22" x14ac:dyDescent="0.25">
      <c r="A74" s="790" t="s">
        <v>1728</v>
      </c>
      <c r="B74" s="801">
        <v>1.8</v>
      </c>
      <c r="C74" s="794" t="s">
        <v>2527</v>
      </c>
      <c r="D74" s="5"/>
      <c r="E74" s="5"/>
      <c r="F74" s="5"/>
      <c r="G74" s="5"/>
      <c r="H74" s="5"/>
      <c r="I74" s="5"/>
      <c r="J74" s="790" t="s">
        <v>1728</v>
      </c>
      <c r="K74" s="801">
        <f>B74</f>
        <v>1.8</v>
      </c>
      <c r="L74" s="794" t="s">
        <v>2527</v>
      </c>
      <c r="M74" s="5"/>
      <c r="N74" s="5"/>
      <c r="O74" s="5"/>
      <c r="P74" s="5"/>
      <c r="Q74" s="5"/>
      <c r="R74" s="5"/>
      <c r="S74" s="5"/>
      <c r="T74" s="794">
        <v>0.67500000000000004</v>
      </c>
      <c r="U74" s="794">
        <f t="shared" si="0"/>
        <v>0.60750000000000015</v>
      </c>
      <c r="V74" s="794">
        <f t="shared" si="1"/>
        <v>-13.086800851586615</v>
      </c>
    </row>
    <row r="75" spans="1:22" x14ac:dyDescent="0.25">
      <c r="A75" s="790" t="s">
        <v>2528</v>
      </c>
      <c r="B75" s="790">
        <f>B74/1000*B73</f>
        <v>405.00000000000006</v>
      </c>
      <c r="C75" s="794" t="s">
        <v>2529</v>
      </c>
      <c r="D75" s="5"/>
      <c r="E75" s="5"/>
      <c r="F75" s="5"/>
      <c r="G75" s="5"/>
      <c r="H75" s="5"/>
      <c r="I75" s="5"/>
      <c r="J75" s="790" t="s">
        <v>2528</v>
      </c>
      <c r="K75" s="796">
        <f>B75*1000/(25.4*25.4)</f>
        <v>627.75125550251107</v>
      </c>
      <c r="L75" s="795" t="s">
        <v>2530</v>
      </c>
      <c r="M75" s="5"/>
      <c r="N75" s="5"/>
      <c r="O75" s="5"/>
      <c r="P75" s="5"/>
      <c r="Q75" s="5"/>
      <c r="R75" s="5"/>
      <c r="S75" s="5"/>
      <c r="T75" s="794">
        <v>0.7</v>
      </c>
      <c r="U75" s="794">
        <f t="shared" si="0"/>
        <v>0.63</v>
      </c>
      <c r="V75" s="794">
        <f t="shared" si="1"/>
        <v>-13.944972029154133</v>
      </c>
    </row>
    <row r="76" spans="1:2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794">
        <v>0.72499999999999998</v>
      </c>
      <c r="U76" s="794">
        <f t="shared" si="0"/>
        <v>0.65250000000000008</v>
      </c>
      <c r="V76" s="794">
        <f t="shared" si="1"/>
        <v>-14.77342887290359</v>
      </c>
    </row>
    <row r="77" spans="1:22" x14ac:dyDescent="0.25">
      <c r="A77" s="802" t="s">
        <v>2531</v>
      </c>
      <c r="B77" s="5"/>
      <c r="C77" s="5"/>
      <c r="D77" s="5"/>
      <c r="E77" s="796">
        <f>B58</f>
        <v>804.24771931898704</v>
      </c>
      <c r="F77" s="790" t="str">
        <f>CONCATENATE("&gt;",B75,"mm2")</f>
        <v>&gt;405mm2</v>
      </c>
      <c r="G77" s="788">
        <f>E77/B75</f>
        <v>1.9857968378246591</v>
      </c>
      <c r="H77" s="5"/>
      <c r="I77" s="5"/>
      <c r="J77" s="802" t="s">
        <v>2531</v>
      </c>
      <c r="K77" s="5"/>
      <c r="L77" s="5"/>
      <c r="M77" s="5"/>
      <c r="N77" s="796">
        <f>K58</f>
        <v>1246.5864581173462</v>
      </c>
      <c r="O77" s="790" t="str">
        <f>CONCATENATE("&gt;",K75,"in2")</f>
        <v>&gt;627.751255502511in2</v>
      </c>
      <c r="P77" s="788">
        <f>N77/K75</f>
        <v>1.9857968378246591</v>
      </c>
      <c r="Q77" s="5"/>
      <c r="R77" s="5"/>
      <c r="S77" s="5"/>
      <c r="T77" s="794">
        <v>0.75</v>
      </c>
      <c r="U77" s="794">
        <f t="shared" si="0"/>
        <v>0.67500000000000004</v>
      </c>
      <c r="V77" s="794">
        <f t="shared" si="1"/>
        <v>-15.571155724388172</v>
      </c>
    </row>
    <row r="78" spans="1:22" x14ac:dyDescent="0.25">
      <c r="A78" s="802" t="s">
        <v>2532</v>
      </c>
      <c r="B78" s="5"/>
      <c r="C78" s="5"/>
      <c r="D78" s="5"/>
      <c r="E78" s="796">
        <f>B56</f>
        <v>1179.9410029498522</v>
      </c>
      <c r="F78" s="790" t="str">
        <f>CONCATENATE("&gt;",B75,"mm2")</f>
        <v>&gt;405mm2</v>
      </c>
      <c r="G78" s="788">
        <f>E78/B75</f>
        <v>2.9134345751848199</v>
      </c>
      <c r="H78" s="5"/>
      <c r="I78" s="5"/>
      <c r="J78" s="802" t="s">
        <v>2532</v>
      </c>
      <c r="K78" s="5"/>
      <c r="L78" s="5"/>
      <c r="M78" s="5"/>
      <c r="N78" s="796">
        <f>K56</f>
        <v>1828.9122123966958</v>
      </c>
      <c r="O78" s="790" t="str">
        <f>CONCATENATE("&gt;",K75,"in2")</f>
        <v>&gt;627.751255502511in2</v>
      </c>
      <c r="P78" s="788">
        <f>N78/K75</f>
        <v>2.9134345751848203</v>
      </c>
      <c r="Q78" s="5"/>
      <c r="R78" s="5"/>
      <c r="S78" s="5"/>
      <c r="T78" s="794">
        <v>0.77500000000000002</v>
      </c>
      <c r="U78" s="794">
        <f t="shared" si="0"/>
        <v>0.69750000000000012</v>
      </c>
      <c r="V78" s="794">
        <f t="shared" si="1"/>
        <v>-16.337136925161097</v>
      </c>
    </row>
    <row r="79" spans="1:22" x14ac:dyDescent="0.25">
      <c r="A79" s="802" t="s">
        <v>2533</v>
      </c>
      <c r="B79" s="5"/>
      <c r="C79" s="5"/>
      <c r="D79" s="5"/>
      <c r="E79" s="796">
        <f>B57</f>
        <v>119.23356242726726</v>
      </c>
      <c r="F79" s="790" t="str">
        <f>CONCATENATE("&gt;",B47,"mm2")</f>
        <v>&gt;2.49203544109382mm2</v>
      </c>
      <c r="G79" s="788">
        <f>E79/B47</f>
        <v>47.845853418092929</v>
      </c>
      <c r="H79" s="5"/>
      <c r="I79" s="5"/>
      <c r="J79" s="802" t="s">
        <v>2533</v>
      </c>
      <c r="K79" s="5"/>
      <c r="L79" s="5"/>
      <c r="M79" s="5"/>
      <c r="N79" s="796">
        <f>K57</f>
        <v>88021.196622869364</v>
      </c>
      <c r="O79" s="790" t="str">
        <f>CONCATENATE("&gt;",K47,"in2")</f>
        <v>&gt;1839.68286350148in2</v>
      </c>
      <c r="P79" s="788">
        <f>N79/K47</f>
        <v>47.845853418092922</v>
      </c>
      <c r="Q79" s="5"/>
      <c r="R79" s="5"/>
      <c r="S79" s="5"/>
      <c r="T79" s="794">
        <v>0.8</v>
      </c>
      <c r="U79" s="794">
        <f t="shared" si="0"/>
        <v>0.7200000000000002</v>
      </c>
      <c r="V79" s="794">
        <f t="shared" si="1"/>
        <v>-17.070356816775565</v>
      </c>
    </row>
    <row r="80" spans="1:22" x14ac:dyDescent="0.25">
      <c r="A80" s="802"/>
      <c r="B80" s="5"/>
      <c r="C80" s="5"/>
      <c r="D80" s="5"/>
      <c r="E80" s="796">
        <f>E79</f>
        <v>119.23356242726726</v>
      </c>
      <c r="F80" s="790" t="str">
        <f>CONCATENATE("&gt;",B48,"mm2")</f>
        <v>&gt;-21.6348298063713mm2</v>
      </c>
      <c r="G80" s="788">
        <f>E80/ABS(B48)</f>
        <v>5.5111855972240651</v>
      </c>
      <c r="H80" s="5"/>
      <c r="I80" s="5"/>
      <c r="J80" s="802"/>
      <c r="K80" s="5"/>
      <c r="L80" s="5"/>
      <c r="M80" s="5"/>
      <c r="N80" s="796">
        <f>N79</f>
        <v>88021.196622869364</v>
      </c>
      <c r="O80" s="790" t="str">
        <f>CONCATENATE("&gt;",K48,"in2")</f>
        <v>&gt;-15971.3722338084in2</v>
      </c>
      <c r="P80" s="788">
        <f>N80/ABS(K48)</f>
        <v>5.5111855972240642</v>
      </c>
      <c r="Q80" s="5"/>
      <c r="R80" s="5"/>
      <c r="S80" s="5"/>
      <c r="T80" s="794">
        <v>0.82499999999999996</v>
      </c>
      <c r="U80" s="794">
        <f t="shared" si="0"/>
        <v>0.74250000000000005</v>
      </c>
      <c r="V80" s="794">
        <f t="shared" si="1"/>
        <v>-17.769799740784762</v>
      </c>
    </row>
    <row r="81" spans="1:22" x14ac:dyDescent="0.25">
      <c r="A81" s="802" t="s">
        <v>2534</v>
      </c>
      <c r="B81" s="5"/>
      <c r="C81" s="5"/>
      <c r="D81" s="5"/>
      <c r="E81" s="790">
        <f>B68</f>
        <v>177.54375000000002</v>
      </c>
      <c r="F81" s="790" t="str">
        <f>CONCATENATE("&gt;",B49,"mm2")</f>
        <v>&gt;38.814916297448mm2</v>
      </c>
      <c r="G81" s="788">
        <f>E81/ABS(B49)</f>
        <v>4.5741113709853112</v>
      </c>
      <c r="H81" s="5"/>
      <c r="I81" s="5"/>
      <c r="J81" s="802" t="s">
        <v>2534</v>
      </c>
      <c r="K81" s="5"/>
      <c r="L81" s="5"/>
      <c r="M81" s="5"/>
      <c r="N81" s="790">
        <f>K68</f>
        <v>39947.34375</v>
      </c>
      <c r="O81" s="790" t="str">
        <f>CONCATENATE("&gt;",K49,"in2")</f>
        <v>&gt;8733.3561669258in2</v>
      </c>
      <c r="P81" s="788">
        <f>N81/ABS(K49)</f>
        <v>4.5741113709853112</v>
      </c>
      <c r="Q81" s="5"/>
      <c r="R81" s="5"/>
      <c r="S81" s="5"/>
      <c r="T81" s="794">
        <v>0.85</v>
      </c>
      <c r="U81" s="794">
        <f t="shared" si="0"/>
        <v>0.76500000000000012</v>
      </c>
      <c r="V81" s="794">
        <f t="shared" si="1"/>
        <v>-18.434450038741925</v>
      </c>
    </row>
    <row r="82" spans="1:2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794">
        <v>0.875</v>
      </c>
      <c r="U82" s="794">
        <f t="shared" si="0"/>
        <v>0.78750000000000009</v>
      </c>
      <c r="V82" s="794">
        <f t="shared" si="1"/>
        <v>-19.063292052200239</v>
      </c>
    </row>
    <row r="83" spans="1:2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794">
        <v>0.9</v>
      </c>
      <c r="U83" s="794">
        <f t="shared" si="0"/>
        <v>0.81000000000000016</v>
      </c>
      <c r="V83" s="794">
        <f t="shared" si="1"/>
        <v>-19.655310122712908</v>
      </c>
    </row>
    <row r="84" spans="1:2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794">
        <v>0.92500000000000004</v>
      </c>
      <c r="U84" s="794">
        <f t="shared" si="0"/>
        <v>0.83250000000000013</v>
      </c>
      <c r="V84" s="794">
        <f t="shared" si="1"/>
        <v>-20.209488591833146</v>
      </c>
    </row>
    <row r="85" spans="1:2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794">
        <v>0.95</v>
      </c>
      <c r="U85" s="794">
        <f t="shared" si="0"/>
        <v>0.85500000000000009</v>
      </c>
      <c r="V85" s="794">
        <f t="shared" si="1"/>
        <v>-20.724811801114154</v>
      </c>
    </row>
    <row r="86" spans="1:2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794">
        <v>0.97499999999999998</v>
      </c>
      <c r="U86" s="794">
        <f t="shared" si="0"/>
        <v>0.87750000000000006</v>
      </c>
      <c r="V86" s="794">
        <f t="shared" si="1"/>
        <v>-21.200264092109126</v>
      </c>
    </row>
    <row r="87" spans="1:2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794">
        <v>1</v>
      </c>
      <c r="U87" s="794">
        <f t="shared" si="0"/>
        <v>0.90000000000000013</v>
      </c>
      <c r="V87" s="794">
        <f t="shared" si="1"/>
        <v>-21.634829806371272</v>
      </c>
    </row>
  </sheetData>
  <mergeCells count="41">
    <mergeCell ref="A1:C3"/>
    <mergeCell ref="D1:I1"/>
    <mergeCell ref="D2:I2"/>
    <mergeCell ref="D3:I3"/>
    <mergeCell ref="A4:C4"/>
    <mergeCell ref="D4:E4"/>
    <mergeCell ref="F4:G4"/>
    <mergeCell ref="A5:C5"/>
    <mergeCell ref="D5:E5"/>
    <mergeCell ref="F5:G5"/>
    <mergeCell ref="A60:C62"/>
    <mergeCell ref="D60:I60"/>
    <mergeCell ref="D61:I61"/>
    <mergeCell ref="D62:I62"/>
    <mergeCell ref="A63:C63"/>
    <mergeCell ref="D63:E63"/>
    <mergeCell ref="F63:G63"/>
    <mergeCell ref="A64:C64"/>
    <mergeCell ref="D64:E64"/>
    <mergeCell ref="F64:G64"/>
    <mergeCell ref="J1:L3"/>
    <mergeCell ref="M1:R1"/>
    <mergeCell ref="M2:R2"/>
    <mergeCell ref="M3:R3"/>
    <mergeCell ref="J4:L4"/>
    <mergeCell ref="M4:N4"/>
    <mergeCell ref="O4:P4"/>
    <mergeCell ref="J5:L5"/>
    <mergeCell ref="M5:N5"/>
    <mergeCell ref="O5:P5"/>
    <mergeCell ref="J60:L62"/>
    <mergeCell ref="M60:R60"/>
    <mergeCell ref="M61:R61"/>
    <mergeCell ref="M62:R62"/>
    <mergeCell ref="J7:Q7"/>
    <mergeCell ref="J63:L63"/>
    <mergeCell ref="M63:N63"/>
    <mergeCell ref="O63:P63"/>
    <mergeCell ref="J64:L64"/>
    <mergeCell ref="M64:N64"/>
    <mergeCell ref="O64:P64"/>
  </mergeCells>
  <conditionalFormatting sqref="G77">
    <cfRule type="iconSet" priority="10">
      <iconSet>
        <cfvo type="percent" val="0"/>
        <cfvo type="num" val="1"/>
        <cfvo type="num" val="1.05"/>
      </iconSet>
    </cfRule>
  </conditionalFormatting>
  <conditionalFormatting sqref="G78">
    <cfRule type="iconSet" priority="9">
      <iconSet>
        <cfvo type="percent" val="0"/>
        <cfvo type="num" val="1"/>
        <cfvo type="num" val="1.05"/>
      </iconSet>
    </cfRule>
  </conditionalFormatting>
  <conditionalFormatting sqref="G79">
    <cfRule type="iconSet" priority="8">
      <iconSet>
        <cfvo type="percent" val="0"/>
        <cfvo type="num" val="1"/>
        <cfvo type="num" val="1.05"/>
      </iconSet>
    </cfRule>
  </conditionalFormatting>
  <conditionalFormatting sqref="G80">
    <cfRule type="iconSet" priority="7">
      <iconSet>
        <cfvo type="percent" val="0"/>
        <cfvo type="num" val="1"/>
        <cfvo type="num" val="1.05"/>
      </iconSet>
    </cfRule>
  </conditionalFormatting>
  <conditionalFormatting sqref="G81">
    <cfRule type="iconSet" priority="6">
      <iconSet>
        <cfvo type="percent" val="0"/>
        <cfvo type="num" val="1"/>
        <cfvo type="num" val="1.05"/>
      </iconSet>
    </cfRule>
  </conditionalFormatting>
  <conditionalFormatting sqref="P77">
    <cfRule type="iconSet" priority="5">
      <iconSet>
        <cfvo type="percent" val="0"/>
        <cfvo type="num" val="1"/>
        <cfvo type="num" val="1.05"/>
      </iconSet>
    </cfRule>
  </conditionalFormatting>
  <conditionalFormatting sqref="P78">
    <cfRule type="iconSet" priority="4">
      <iconSet>
        <cfvo type="percent" val="0"/>
        <cfvo type="num" val="1"/>
        <cfvo type="num" val="1.05"/>
      </iconSet>
    </cfRule>
  </conditionalFormatting>
  <conditionalFormatting sqref="P79">
    <cfRule type="iconSet" priority="3">
      <iconSet>
        <cfvo type="percent" val="0"/>
        <cfvo type="num" val="1"/>
        <cfvo type="num" val="1.05"/>
      </iconSet>
    </cfRule>
  </conditionalFormatting>
  <conditionalFormatting sqref="P80">
    <cfRule type="iconSet" priority="2">
      <iconSet>
        <cfvo type="percent" val="0"/>
        <cfvo type="num" val="1"/>
        <cfvo type="num" val="1.05"/>
      </iconSet>
    </cfRule>
  </conditionalFormatting>
  <conditionalFormatting sqref="P81">
    <cfRule type="iconSet" priority="1">
      <iconSet>
        <cfvo type="percent" val="0"/>
        <cfvo type="num" val="1"/>
        <cfvo type="num" val="1.05"/>
      </iconSet>
    </cfRule>
  </conditionalFormatting>
  <pageMargins left="0.70866141732283472" right="0.70866141732283472" top="0.74803149606299213" bottom="0.74803149606299213" header="0.31496062992125978" footer="0.31496062992125978"/>
  <pageSetup paperSize="9" scale="81" orientation="portrait"/>
  <rowBreaks count="2" manualBreakCount="2">
    <brk id="59" max="8" man="1"/>
    <brk id="59" min="9" max="17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R55"/>
  <sheetViews>
    <sheetView tabSelected="1" topLeftCell="A18" workbookViewId="0">
      <selection activeCell="A4" sqref="A4:C4"/>
    </sheetView>
    <sheetView tabSelected="1" workbookViewId="1">
      <selection sqref="A1:AK5"/>
    </sheetView>
  </sheetViews>
  <sheetFormatPr defaultColWidth="11.42578125" defaultRowHeight="12.75" x14ac:dyDescent="0.2"/>
  <cols>
    <col min="7" max="7" width="12.140625" customWidth="1"/>
  </cols>
  <sheetData>
    <row r="1" spans="1:18" ht="17.25" customHeight="1" thickTop="1" thickBot="1" x14ac:dyDescent="0.3">
      <c r="A1" s="1093"/>
      <c r="B1" s="823"/>
      <c r="C1" s="824"/>
      <c r="D1" s="913" t="str">
        <f>'Front Page'!A13</f>
        <v>Mechanical  Calculations</v>
      </c>
      <c r="E1" s="842"/>
      <c r="F1" s="842"/>
      <c r="G1" s="842"/>
      <c r="H1" s="842"/>
      <c r="I1" s="843"/>
      <c r="J1" s="1093"/>
      <c r="K1" s="823"/>
      <c r="L1" s="824"/>
      <c r="M1" s="913"/>
      <c r="N1" s="842"/>
      <c r="O1" s="842"/>
      <c r="P1" s="842"/>
      <c r="Q1" s="842"/>
      <c r="R1" s="843"/>
    </row>
    <row r="2" spans="1:18" ht="16.5" customHeight="1" thickBot="1" x14ac:dyDescent="0.3">
      <c r="A2" s="825"/>
      <c r="B2" s="809"/>
      <c r="C2" s="826"/>
      <c r="D2" s="839"/>
      <c r="E2" s="831"/>
      <c r="F2" s="831"/>
      <c r="G2" s="831"/>
      <c r="H2" s="831"/>
      <c r="I2" s="832"/>
      <c r="J2" s="825"/>
      <c r="K2" s="809"/>
      <c r="L2" s="826"/>
      <c r="M2" s="839"/>
      <c r="N2" s="831"/>
      <c r="O2" s="831"/>
      <c r="P2" s="831"/>
      <c r="Q2" s="831"/>
      <c r="R2" s="832"/>
    </row>
    <row r="3" spans="1:18" ht="16.5" customHeight="1" thickBot="1" x14ac:dyDescent="0.3">
      <c r="A3" s="827"/>
      <c r="B3" s="828"/>
      <c r="C3" s="829"/>
      <c r="D3" s="1096" t="s">
        <v>2535</v>
      </c>
      <c r="E3" s="848"/>
      <c r="F3" s="848"/>
      <c r="G3" s="848"/>
      <c r="H3" s="848"/>
      <c r="I3" s="849"/>
      <c r="J3" s="827"/>
      <c r="K3" s="828"/>
      <c r="L3" s="829"/>
      <c r="M3" s="1096" t="s">
        <v>2536</v>
      </c>
      <c r="N3" s="848"/>
      <c r="O3" s="848"/>
      <c r="P3" s="848"/>
      <c r="Q3" s="848"/>
      <c r="R3" s="849"/>
    </row>
    <row r="4" spans="1:18" ht="16.5" customHeight="1" thickTop="1" thickBot="1" x14ac:dyDescent="0.3">
      <c r="A4" s="1087"/>
      <c r="B4" s="831"/>
      <c r="C4" s="832"/>
      <c r="D4" s="1088" t="s">
        <v>1</v>
      </c>
      <c r="E4" s="832"/>
      <c r="F4" s="1089"/>
      <c r="G4" s="843"/>
      <c r="H4" s="781"/>
      <c r="I4" s="782"/>
      <c r="J4" s="1087"/>
      <c r="K4" s="831"/>
      <c r="L4" s="832"/>
      <c r="M4" s="1088" t="s">
        <v>1</v>
      </c>
      <c r="N4" s="832"/>
      <c r="O4" s="1089"/>
      <c r="P4" s="843"/>
      <c r="Q4" s="781"/>
      <c r="R4" s="782"/>
    </row>
    <row r="5" spans="1:18" ht="15.75" customHeight="1" thickBot="1" x14ac:dyDescent="0.3">
      <c r="A5" s="1090"/>
      <c r="B5" s="834"/>
      <c r="C5" s="835"/>
      <c r="D5" s="1091" t="s">
        <v>4</v>
      </c>
      <c r="E5" s="835"/>
      <c r="F5" s="1092"/>
      <c r="G5" s="835"/>
      <c r="H5" s="783" t="s">
        <v>5</v>
      </c>
      <c r="I5" s="803"/>
      <c r="J5" s="1090"/>
      <c r="K5" s="834"/>
      <c r="L5" s="835"/>
      <c r="M5" s="1091" t="s">
        <v>4</v>
      </c>
      <c r="N5" s="835"/>
      <c r="O5" s="1092"/>
      <c r="P5" s="835"/>
      <c r="Q5" s="783" t="s">
        <v>5</v>
      </c>
      <c r="R5" s="784"/>
    </row>
    <row r="6" spans="1:18" ht="13.5" customHeight="1" thickTop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0.25" customHeight="1" x14ac:dyDescent="0.2">
      <c r="A7" s="1101" t="s">
        <v>2537</v>
      </c>
      <c r="B7" s="809"/>
      <c r="C7" s="809"/>
      <c r="D7" s="809"/>
      <c r="E7" s="809"/>
      <c r="F7" s="809"/>
      <c r="G7" s="809"/>
      <c r="H7" s="809"/>
      <c r="I7" s="5"/>
      <c r="J7" s="1100" t="s">
        <v>2538</v>
      </c>
      <c r="K7" s="809"/>
      <c r="L7" s="809"/>
      <c r="M7" s="809"/>
      <c r="N7" s="809"/>
      <c r="O7" s="809"/>
      <c r="P7" s="809"/>
      <c r="Q7" s="809"/>
      <c r="R7" s="5"/>
    </row>
    <row r="8" spans="1:18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8" customHeight="1" x14ac:dyDescent="0.25">
      <c r="A9" s="102" t="s">
        <v>313</v>
      </c>
      <c r="B9" s="5"/>
      <c r="C9" s="5"/>
      <c r="D9" s="5"/>
      <c r="E9" s="5"/>
      <c r="F9" s="5"/>
      <c r="G9" s="5"/>
      <c r="H9" s="5"/>
      <c r="I9" s="5"/>
      <c r="J9" s="134" t="s">
        <v>313</v>
      </c>
      <c r="K9" s="5"/>
      <c r="L9" s="5"/>
      <c r="M9" s="5"/>
      <c r="N9" s="5"/>
      <c r="O9" s="5"/>
      <c r="P9" s="5"/>
      <c r="Q9" s="5"/>
      <c r="R9" s="5"/>
    </row>
    <row r="10" spans="1:18" ht="23.25" customHeight="1" x14ac:dyDescent="0.35">
      <c r="A10" s="255"/>
      <c r="B10" s="5"/>
      <c r="C10" s="5"/>
      <c r="D10" s="5"/>
      <c r="E10" s="5"/>
      <c r="F10" s="5"/>
      <c r="G10" s="5"/>
      <c r="H10" s="5"/>
      <c r="I10" s="5"/>
      <c r="J10" s="255"/>
      <c r="K10" s="5"/>
      <c r="L10" s="5"/>
      <c r="M10" s="5"/>
      <c r="N10" s="5"/>
      <c r="O10" s="5"/>
      <c r="P10" s="5"/>
      <c r="Q10" s="5"/>
      <c r="R10" s="5"/>
    </row>
    <row r="11" spans="1:18" x14ac:dyDescent="0.2">
      <c r="A11" s="5" t="s">
        <v>908</v>
      </c>
      <c r="B11" s="332">
        <f>'Main Dimensions Calcs'!D32/304.8</f>
        <v>76.771653543307082</v>
      </c>
      <c r="C11" s="64" t="s">
        <v>2539</v>
      </c>
      <c r="D11" s="5"/>
      <c r="E11" s="5"/>
      <c r="F11" s="5"/>
      <c r="G11" s="5"/>
      <c r="H11" s="5"/>
      <c r="I11" s="5"/>
      <c r="J11" s="5" t="s">
        <v>908</v>
      </c>
      <c r="K11" s="390">
        <f>'Main Dimensions Calcs'!D32/1000</f>
        <v>23.4</v>
      </c>
      <c r="L11" s="64" t="s">
        <v>2539</v>
      </c>
      <c r="M11" s="5"/>
      <c r="N11" s="5"/>
      <c r="O11" s="5"/>
      <c r="P11" s="5"/>
      <c r="Q11" s="5"/>
      <c r="R11" s="5"/>
    </row>
    <row r="12" spans="1:18" x14ac:dyDescent="0.2">
      <c r="A12" s="64" t="s">
        <v>1617</v>
      </c>
      <c r="B12" s="332">
        <f>+'Main Dimensions Calcs'!D30/304.8</f>
        <v>29.24226802216625</v>
      </c>
      <c r="C12" s="5" t="s">
        <v>2540</v>
      </c>
      <c r="D12" s="5"/>
      <c r="E12" s="64" t="s">
        <v>2541</v>
      </c>
      <c r="F12" s="5"/>
      <c r="G12" s="804">
        <v>9</v>
      </c>
      <c r="H12" s="5"/>
      <c r="I12" s="5"/>
      <c r="J12" s="64" t="s">
        <v>1617</v>
      </c>
      <c r="K12" s="390">
        <f>'Main Dimensions Calcs'!D30/1000</f>
        <v>8.9130432931562744</v>
      </c>
      <c r="L12" s="64" t="s">
        <v>2542</v>
      </c>
      <c r="M12" s="5"/>
      <c r="N12" s="5"/>
      <c r="O12" s="5"/>
      <c r="P12" s="5"/>
      <c r="Q12" s="5"/>
      <c r="R12" s="5"/>
    </row>
    <row r="13" spans="1:18" x14ac:dyDescent="0.2">
      <c r="A13" s="64" t="s">
        <v>2543</v>
      </c>
      <c r="B13" s="332">
        <f>'Main Dimensions Calcs'!D30/304.8+G12</f>
        <v>38.24226802216625</v>
      </c>
      <c r="C13" s="64" t="s">
        <v>2544</v>
      </c>
      <c r="D13" s="5"/>
      <c r="E13" s="5"/>
      <c r="F13" s="5"/>
      <c r="G13" s="5"/>
      <c r="H13" s="5"/>
      <c r="I13" s="5"/>
      <c r="J13" s="64"/>
      <c r="K13" s="390"/>
      <c r="L13" s="64"/>
      <c r="M13" s="5"/>
      <c r="N13" s="5"/>
      <c r="O13" s="5"/>
      <c r="P13" s="5"/>
      <c r="Q13" s="5"/>
      <c r="R13" s="5"/>
    </row>
    <row r="14" spans="1:18" x14ac:dyDescent="0.2">
      <c r="A14" s="64" t="s">
        <v>1475</v>
      </c>
      <c r="B14" s="332">
        <f>'Main Dimensions Calcs'!D31/304.8</f>
        <v>12.877892866853188</v>
      </c>
      <c r="C14" s="64" t="s">
        <v>2545</v>
      </c>
      <c r="D14" s="5"/>
      <c r="E14" s="5"/>
      <c r="F14" s="5"/>
      <c r="G14" s="5"/>
      <c r="H14" s="5"/>
      <c r="I14" s="5"/>
      <c r="J14" s="64" t="s">
        <v>1475</v>
      </c>
      <c r="K14" s="390">
        <f>'Main Dimensions Calcs'!M31/304.8</f>
        <v>0</v>
      </c>
      <c r="L14" s="64" t="s">
        <v>2545</v>
      </c>
      <c r="M14" s="5"/>
      <c r="N14" s="5"/>
      <c r="O14" s="5"/>
      <c r="P14" s="5"/>
      <c r="Q14" s="5"/>
      <c r="R14" s="5"/>
    </row>
    <row r="15" spans="1:18" x14ac:dyDescent="0.2">
      <c r="A15" s="64" t="s">
        <v>1584</v>
      </c>
      <c r="B15" s="335">
        <f>'Design Conditions'!K28</f>
        <v>149</v>
      </c>
      <c r="C15" s="64" t="s">
        <v>2546</v>
      </c>
      <c r="D15" s="64"/>
      <c r="E15" s="64"/>
      <c r="F15" s="5"/>
      <c r="G15" s="5"/>
      <c r="H15" s="5"/>
      <c r="I15" s="5"/>
      <c r="J15" s="64" t="s">
        <v>1584</v>
      </c>
      <c r="K15" s="604">
        <v>149</v>
      </c>
      <c r="L15" s="266" t="s">
        <v>2547</v>
      </c>
      <c r="M15" s="266"/>
      <c r="N15" s="266"/>
      <c r="O15" s="5"/>
      <c r="P15" s="5"/>
      <c r="Q15" s="5"/>
      <c r="R15" s="5"/>
    </row>
    <row r="16" spans="1:18" x14ac:dyDescent="0.2">
      <c r="A16" s="5"/>
      <c r="B16" s="5"/>
      <c r="C16" s="335" t="s">
        <v>1907</v>
      </c>
      <c r="D16" s="64"/>
      <c r="E16" s="64"/>
      <c r="F16" s="5"/>
      <c r="G16" s="5"/>
      <c r="H16" s="5"/>
      <c r="I16" s="5"/>
      <c r="J16" s="5"/>
      <c r="K16" s="5"/>
      <c r="L16" s="266"/>
      <c r="M16" s="266"/>
      <c r="N16" s="266"/>
      <c r="O16" s="5"/>
      <c r="P16" s="5"/>
      <c r="Q16" s="5"/>
      <c r="R16" s="5"/>
    </row>
    <row r="17" spans="1:18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8" customHeight="1" x14ac:dyDescent="0.25">
      <c r="A18" s="102" t="s">
        <v>2548</v>
      </c>
      <c r="B18" s="5"/>
      <c r="C18" s="5"/>
      <c r="D18" s="5"/>
      <c r="E18" s="5"/>
      <c r="F18" s="5"/>
      <c r="G18" s="5"/>
      <c r="H18" s="5"/>
      <c r="I18" s="5"/>
      <c r="J18" s="134" t="s">
        <v>2548</v>
      </c>
      <c r="K18" s="5"/>
      <c r="L18" s="5"/>
      <c r="M18" s="5"/>
      <c r="N18" s="5"/>
      <c r="O18" s="5"/>
      <c r="P18" s="5"/>
      <c r="Q18" s="5"/>
      <c r="R18" s="5"/>
    </row>
    <row r="19" spans="1:18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">
      <c r="A20" s="1069" t="s">
        <v>2549</v>
      </c>
      <c r="B20" s="809"/>
      <c r="C20" s="809"/>
      <c r="D20" s="809"/>
      <c r="E20" s="809"/>
      <c r="F20" s="809"/>
      <c r="G20" s="809"/>
      <c r="H20" s="809"/>
      <c r="I20" s="809"/>
      <c r="J20" s="5"/>
      <c r="K20" s="5"/>
      <c r="L20" s="5"/>
      <c r="M20" s="118" t="s">
        <v>2549</v>
      </c>
      <c r="N20" s="5"/>
      <c r="O20" s="5"/>
      <c r="P20" s="5"/>
      <c r="Q20" s="5"/>
      <c r="R20" s="5"/>
    </row>
    <row r="21" spans="1:18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A22" s="5"/>
      <c r="B22" s="805" t="s">
        <v>2550</v>
      </c>
      <c r="C22" s="805" t="s">
        <v>1908</v>
      </c>
      <c r="D22" s="805" t="s">
        <v>1910</v>
      </c>
      <c r="E22" s="805" t="s">
        <v>1912</v>
      </c>
      <c r="F22" s="805" t="s">
        <v>2551</v>
      </c>
      <c r="G22" s="805" t="s">
        <v>2552</v>
      </c>
      <c r="H22" s="5"/>
      <c r="I22" s="5"/>
      <c r="J22" s="5"/>
      <c r="K22" s="805" t="s">
        <v>2550</v>
      </c>
      <c r="L22" s="805" t="s">
        <v>1908</v>
      </c>
      <c r="M22" s="805" t="s">
        <v>1910</v>
      </c>
      <c r="N22" s="805" t="s">
        <v>1912</v>
      </c>
      <c r="O22" s="805" t="s">
        <v>2551</v>
      </c>
      <c r="P22" s="805" t="s">
        <v>2553</v>
      </c>
      <c r="Q22" s="806" t="s">
        <v>1814</v>
      </c>
      <c r="R22" s="5"/>
    </row>
    <row r="23" spans="1:18" x14ac:dyDescent="0.2">
      <c r="A23" s="5"/>
      <c r="B23" s="140" t="s">
        <v>2554</v>
      </c>
      <c r="C23" s="402">
        <v>0.85</v>
      </c>
      <c r="D23" s="402">
        <v>1</v>
      </c>
      <c r="E23" s="140">
        <v>0.95</v>
      </c>
      <c r="F23" s="419">
        <f t="shared" ref="F23:F30" si="0">$B$15</f>
        <v>149</v>
      </c>
      <c r="G23" s="419">
        <f t="shared" ref="G23:G30" si="1">C23*D23*E23*F23^2*0.00256</f>
        <v>45.893907200000001</v>
      </c>
      <c r="H23" s="5"/>
      <c r="I23" s="5"/>
      <c r="J23" s="5"/>
      <c r="K23" s="140" t="s">
        <v>2554</v>
      </c>
      <c r="L23" s="402">
        <v>0.85</v>
      </c>
      <c r="M23" s="402">
        <v>1</v>
      </c>
      <c r="N23" s="402">
        <v>0.85</v>
      </c>
      <c r="O23" s="419">
        <f t="shared" ref="O23:O30" si="2">$K$15</f>
        <v>149</v>
      </c>
      <c r="P23" s="419">
        <f t="shared" ref="P23:P30" si="3">L23*M23*N23*O23^2*0.613</f>
        <v>9832.6563924999991</v>
      </c>
      <c r="Q23" s="5">
        <f t="shared" ref="Q23:Q30" si="4">P23/1000</f>
        <v>9.8326563924999988</v>
      </c>
      <c r="R23" s="5"/>
    </row>
    <row r="24" spans="1:18" x14ac:dyDescent="0.2">
      <c r="A24" s="5"/>
      <c r="B24" s="140" t="s">
        <v>2555</v>
      </c>
      <c r="C24" s="402">
        <v>0.9</v>
      </c>
      <c r="D24" s="402">
        <v>1</v>
      </c>
      <c r="E24" s="140">
        <v>0.95</v>
      </c>
      <c r="F24" s="419">
        <f t="shared" si="0"/>
        <v>149</v>
      </c>
      <c r="G24" s="419">
        <f t="shared" si="1"/>
        <v>48.593548800000001</v>
      </c>
      <c r="H24" s="5"/>
      <c r="I24" s="5"/>
      <c r="J24" s="5"/>
      <c r="K24" s="140" t="s">
        <v>2555</v>
      </c>
      <c r="L24" s="402">
        <v>0.9</v>
      </c>
      <c r="M24" s="402">
        <v>1</v>
      </c>
      <c r="N24" s="402">
        <v>0.85</v>
      </c>
      <c r="O24" s="419">
        <f t="shared" si="2"/>
        <v>149</v>
      </c>
      <c r="P24" s="419">
        <f t="shared" si="3"/>
        <v>10411.047945</v>
      </c>
      <c r="Q24" s="5">
        <f t="shared" si="4"/>
        <v>10.411047945</v>
      </c>
      <c r="R24" s="5"/>
    </row>
    <row r="25" spans="1:18" x14ac:dyDescent="0.2">
      <c r="A25" s="5"/>
      <c r="B25" s="140" t="s">
        <v>2556</v>
      </c>
      <c r="C25" s="402">
        <v>0.94</v>
      </c>
      <c r="D25" s="402">
        <v>1</v>
      </c>
      <c r="E25" s="140">
        <v>0.95</v>
      </c>
      <c r="F25" s="419">
        <f t="shared" si="0"/>
        <v>149</v>
      </c>
      <c r="G25" s="419">
        <f t="shared" si="1"/>
        <v>50.753262079999999</v>
      </c>
      <c r="H25" s="5"/>
      <c r="I25" s="5"/>
      <c r="J25" s="5"/>
      <c r="K25" s="140" t="s">
        <v>2556</v>
      </c>
      <c r="L25" s="402">
        <v>0.94</v>
      </c>
      <c r="M25" s="402">
        <v>1</v>
      </c>
      <c r="N25" s="402">
        <v>0.85</v>
      </c>
      <c r="O25" s="419">
        <f t="shared" si="2"/>
        <v>149</v>
      </c>
      <c r="P25" s="419">
        <f t="shared" si="3"/>
        <v>10873.761186999998</v>
      </c>
      <c r="Q25" s="5">
        <f t="shared" si="4"/>
        <v>10.873761186999998</v>
      </c>
      <c r="R25" s="5"/>
    </row>
    <row r="26" spans="1:18" x14ac:dyDescent="0.2">
      <c r="A26" s="5"/>
      <c r="B26" s="140" t="s">
        <v>2557</v>
      </c>
      <c r="C26" s="402">
        <v>0.98</v>
      </c>
      <c r="D26" s="402">
        <v>1</v>
      </c>
      <c r="E26" s="140">
        <v>0.95</v>
      </c>
      <c r="F26" s="419">
        <f t="shared" si="0"/>
        <v>149</v>
      </c>
      <c r="G26" s="419">
        <f t="shared" si="1"/>
        <v>52.912975359999997</v>
      </c>
      <c r="H26" s="5"/>
      <c r="I26" s="5"/>
      <c r="J26" s="5"/>
      <c r="K26" s="140" t="s">
        <v>2557</v>
      </c>
      <c r="L26" s="402">
        <v>0.98</v>
      </c>
      <c r="M26" s="402">
        <v>1</v>
      </c>
      <c r="N26" s="402">
        <v>0.85</v>
      </c>
      <c r="O26" s="419">
        <f t="shared" si="2"/>
        <v>149</v>
      </c>
      <c r="P26" s="419">
        <f t="shared" si="3"/>
        <v>11336.474429</v>
      </c>
      <c r="Q26" s="5">
        <f t="shared" si="4"/>
        <v>11.336474428999999</v>
      </c>
      <c r="R26" s="5"/>
    </row>
    <row r="27" spans="1:18" x14ac:dyDescent="0.2">
      <c r="A27" s="5"/>
      <c r="B27" s="140" t="s">
        <v>2558</v>
      </c>
      <c r="C27" s="402">
        <v>1.04</v>
      </c>
      <c r="D27" s="402">
        <v>1</v>
      </c>
      <c r="E27" s="140">
        <v>0.95</v>
      </c>
      <c r="F27" s="419">
        <f t="shared" si="0"/>
        <v>149</v>
      </c>
      <c r="G27" s="419">
        <f t="shared" si="1"/>
        <v>56.152545280000005</v>
      </c>
      <c r="H27" s="5"/>
      <c r="I27" s="5"/>
      <c r="J27" s="5"/>
      <c r="K27" s="140" t="s">
        <v>2558</v>
      </c>
      <c r="L27" s="402">
        <v>1.04</v>
      </c>
      <c r="M27" s="402">
        <v>1</v>
      </c>
      <c r="N27" s="402">
        <v>0.85</v>
      </c>
      <c r="O27" s="419">
        <f t="shared" si="2"/>
        <v>149</v>
      </c>
      <c r="P27" s="419">
        <f t="shared" si="3"/>
        <v>12030.544292</v>
      </c>
      <c r="Q27" s="5">
        <f t="shared" si="4"/>
        <v>12.030544292</v>
      </c>
      <c r="R27" s="5"/>
    </row>
    <row r="28" spans="1:18" x14ac:dyDescent="0.2">
      <c r="A28" s="5"/>
      <c r="B28" s="140" t="s">
        <v>2559</v>
      </c>
      <c r="C28" s="402">
        <v>1.0900000000000001</v>
      </c>
      <c r="D28" s="402">
        <v>1</v>
      </c>
      <c r="E28" s="140">
        <v>0.95</v>
      </c>
      <c r="F28" s="419">
        <f t="shared" si="0"/>
        <v>149</v>
      </c>
      <c r="G28" s="419">
        <f t="shared" si="1"/>
        <v>58.852186880000005</v>
      </c>
      <c r="H28" s="5"/>
      <c r="I28" s="5"/>
      <c r="J28" s="5"/>
      <c r="K28" s="140" t="s">
        <v>2559</v>
      </c>
      <c r="L28" s="402">
        <v>1.0900000000000001</v>
      </c>
      <c r="M28" s="402">
        <v>1</v>
      </c>
      <c r="N28" s="402">
        <v>0.85</v>
      </c>
      <c r="O28" s="419">
        <f t="shared" si="2"/>
        <v>149</v>
      </c>
      <c r="P28" s="419">
        <f t="shared" si="3"/>
        <v>12608.9358445</v>
      </c>
      <c r="Q28" s="5">
        <f t="shared" si="4"/>
        <v>12.608935844499999</v>
      </c>
      <c r="R28" s="5"/>
    </row>
    <row r="29" spans="1:18" x14ac:dyDescent="0.2">
      <c r="A29" s="5"/>
      <c r="B29" s="140" t="s">
        <v>2560</v>
      </c>
      <c r="C29" s="402">
        <v>1.1299999999999999</v>
      </c>
      <c r="D29" s="402">
        <v>1</v>
      </c>
      <c r="E29" s="140">
        <v>0.95</v>
      </c>
      <c r="F29" s="419">
        <f t="shared" si="0"/>
        <v>149</v>
      </c>
      <c r="G29" s="419">
        <f t="shared" si="1"/>
        <v>61.011900160000003</v>
      </c>
      <c r="H29" s="5"/>
      <c r="I29" s="5"/>
      <c r="J29" s="5"/>
      <c r="K29" s="140" t="s">
        <v>2560</v>
      </c>
      <c r="L29" s="402">
        <v>1.1299999999999999</v>
      </c>
      <c r="M29" s="402">
        <v>1</v>
      </c>
      <c r="N29" s="402">
        <v>0.85</v>
      </c>
      <c r="O29" s="419">
        <f t="shared" si="2"/>
        <v>149</v>
      </c>
      <c r="P29" s="419">
        <f t="shared" si="3"/>
        <v>13071.6490865</v>
      </c>
      <c r="Q29" s="5">
        <f t="shared" si="4"/>
        <v>13.071649086499999</v>
      </c>
      <c r="R29" s="5"/>
    </row>
    <row r="30" spans="1:18" x14ac:dyDescent="0.2">
      <c r="A30" s="5"/>
      <c r="B30" s="140" t="s">
        <v>2561</v>
      </c>
      <c r="C30" s="402">
        <v>1.17</v>
      </c>
      <c r="D30" s="402">
        <v>1</v>
      </c>
      <c r="E30" s="140">
        <v>0.95</v>
      </c>
      <c r="F30" s="419">
        <f t="shared" si="0"/>
        <v>149</v>
      </c>
      <c r="G30" s="419">
        <f t="shared" si="1"/>
        <v>63.171613440000002</v>
      </c>
      <c r="H30" s="5"/>
      <c r="I30" s="5"/>
      <c r="J30" s="5"/>
      <c r="K30" s="140" t="s">
        <v>2562</v>
      </c>
      <c r="L30" s="402">
        <v>1.17</v>
      </c>
      <c r="M30" s="402">
        <v>1</v>
      </c>
      <c r="N30" s="402">
        <v>0.85</v>
      </c>
      <c r="O30" s="419">
        <f t="shared" si="2"/>
        <v>149</v>
      </c>
      <c r="P30" s="419">
        <f t="shared" si="3"/>
        <v>13534.362328499999</v>
      </c>
      <c r="Q30" s="5">
        <f t="shared" si="4"/>
        <v>13.534362328499999</v>
      </c>
      <c r="R30" s="5"/>
    </row>
    <row r="31" spans="1:18" x14ac:dyDescent="0.2">
      <c r="A31" s="5"/>
      <c r="B31" s="170"/>
      <c r="C31" s="14"/>
      <c r="D31" s="14"/>
      <c r="E31" s="170"/>
      <c r="F31" s="418"/>
      <c r="G31" s="418"/>
      <c r="H31" s="5"/>
      <c r="I31" s="5"/>
      <c r="J31" s="5"/>
      <c r="K31" s="170"/>
      <c r="L31" s="14"/>
      <c r="M31" s="14"/>
      <c r="N31" s="14"/>
      <c r="O31" s="418"/>
      <c r="P31" s="418"/>
      <c r="Q31" s="5"/>
      <c r="R31" s="5"/>
    </row>
    <row r="32" spans="1:18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5.75" customHeight="1" x14ac:dyDescent="0.25">
      <c r="A33" s="102" t="s">
        <v>2563</v>
      </c>
      <c r="B33" s="5"/>
      <c r="C33" s="5"/>
      <c r="D33" s="5"/>
      <c r="E33" s="5"/>
      <c r="F33" s="5"/>
      <c r="G33" s="5"/>
      <c r="H33" s="5"/>
      <c r="I33" s="5"/>
      <c r="J33" s="102" t="s">
        <v>2563</v>
      </c>
      <c r="K33" s="5"/>
      <c r="L33" s="5"/>
      <c r="M33" s="5"/>
      <c r="N33" s="5"/>
      <c r="O33" s="5"/>
      <c r="P33" s="5"/>
      <c r="Q33" s="5"/>
      <c r="R33" s="5"/>
    </row>
    <row r="34" spans="1:18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1069" t="s">
        <v>2564</v>
      </c>
      <c r="B35" s="809"/>
      <c r="C35" s="809"/>
      <c r="D35" s="809"/>
      <c r="E35" s="809"/>
      <c r="F35" s="809"/>
      <c r="G35" s="809"/>
      <c r="H35" s="809"/>
      <c r="I35" s="809"/>
      <c r="J35" s="5"/>
      <c r="K35" s="5"/>
      <c r="L35" s="5"/>
      <c r="M35" s="118" t="s">
        <v>2565</v>
      </c>
      <c r="N35" s="5"/>
      <c r="O35" s="5"/>
      <c r="P35" s="5"/>
      <c r="Q35" s="5"/>
      <c r="R35" s="5"/>
    </row>
    <row r="36" spans="1:18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">
      <c r="A37" s="5"/>
      <c r="B37" s="805" t="s">
        <v>2550</v>
      </c>
      <c r="C37" s="805" t="s">
        <v>1914</v>
      </c>
      <c r="D37" s="805" t="s">
        <v>2002</v>
      </c>
      <c r="E37" s="805" t="s">
        <v>1862</v>
      </c>
      <c r="F37" s="805" t="s">
        <v>2036</v>
      </c>
      <c r="G37" s="805" t="s">
        <v>2566</v>
      </c>
      <c r="H37" s="5"/>
      <c r="I37" s="5"/>
      <c r="J37" s="5"/>
      <c r="K37" s="805" t="s">
        <v>2550</v>
      </c>
      <c r="L37" s="805" t="s">
        <v>1914</v>
      </c>
      <c r="M37" s="805" t="s">
        <v>2002</v>
      </c>
      <c r="N37" s="805" t="s">
        <v>1862</v>
      </c>
      <c r="O37" s="805" t="s">
        <v>2036</v>
      </c>
      <c r="P37" s="805" t="s">
        <v>2567</v>
      </c>
      <c r="Q37" s="806" t="s">
        <v>1928</v>
      </c>
      <c r="R37" s="5"/>
    </row>
    <row r="38" spans="1:18" x14ac:dyDescent="0.2">
      <c r="A38" s="5"/>
      <c r="B38" s="140" t="s">
        <v>2554</v>
      </c>
      <c r="C38" s="437">
        <f t="shared" ref="C38:C45" si="5">G23</f>
        <v>45.893907200000001</v>
      </c>
      <c r="D38" s="437">
        <v>0.85</v>
      </c>
      <c r="E38" s="437">
        <v>0.7</v>
      </c>
      <c r="F38" s="437">
        <f>B11*B13</f>
        <v>2935.9221513080388</v>
      </c>
      <c r="G38" s="437">
        <f t="shared" ref="G38:G45" si="6">C38*D38*E38*F38</f>
        <v>80170.858561340516</v>
      </c>
      <c r="H38" s="5"/>
      <c r="I38" s="5"/>
      <c r="J38" s="5"/>
      <c r="K38" s="140" t="s">
        <v>2554</v>
      </c>
      <c r="L38" s="437">
        <f t="shared" ref="L38:L45" si="7">P23</f>
        <v>9832.6563924999991</v>
      </c>
      <c r="M38" s="437">
        <v>0.85</v>
      </c>
      <c r="N38" s="437">
        <v>0.5</v>
      </c>
      <c r="O38" s="437">
        <f>K11*K12</f>
        <v>208.5652130598568</v>
      </c>
      <c r="P38" s="437">
        <f t="shared" ref="P38:P45" si="8">L38*M38*N38*O38</f>
        <v>871568.78206460318</v>
      </c>
      <c r="Q38" s="5">
        <f t="shared" ref="Q38:Q45" si="9">P38/1000</f>
        <v>871.56878206460317</v>
      </c>
      <c r="R38" s="5"/>
    </row>
    <row r="39" spans="1:18" x14ac:dyDescent="0.2">
      <c r="A39" s="5"/>
      <c r="B39" s="140" t="s">
        <v>2555</v>
      </c>
      <c r="C39" s="437">
        <f t="shared" si="5"/>
        <v>48.593548800000001</v>
      </c>
      <c r="D39" s="437">
        <v>0.85</v>
      </c>
      <c r="E39" s="437">
        <v>0.7</v>
      </c>
      <c r="F39" s="437">
        <f t="shared" ref="F39:F45" si="10">$F$38</f>
        <v>2935.9221513080388</v>
      </c>
      <c r="G39" s="437">
        <f t="shared" si="6"/>
        <v>84886.791417889952</v>
      </c>
      <c r="H39" s="5"/>
      <c r="I39" s="5"/>
      <c r="J39" s="5"/>
      <c r="K39" s="140" t="s">
        <v>2555</v>
      </c>
      <c r="L39" s="437">
        <f t="shared" si="7"/>
        <v>10411.047945</v>
      </c>
      <c r="M39" s="437">
        <v>0.85</v>
      </c>
      <c r="N39" s="437">
        <v>0.5</v>
      </c>
      <c r="O39" s="437">
        <f t="shared" ref="O39:O45" si="11">$O$38</f>
        <v>208.5652130598568</v>
      </c>
      <c r="P39" s="437">
        <f t="shared" si="8"/>
        <v>922837.53395075642</v>
      </c>
      <c r="Q39" s="5">
        <f t="shared" si="9"/>
        <v>922.83753395075644</v>
      </c>
      <c r="R39" s="5"/>
    </row>
    <row r="40" spans="1:18" x14ac:dyDescent="0.2">
      <c r="A40" s="5"/>
      <c r="B40" s="140" t="s">
        <v>2556</v>
      </c>
      <c r="C40" s="437">
        <f t="shared" si="5"/>
        <v>50.753262079999999</v>
      </c>
      <c r="D40" s="437">
        <v>0.85</v>
      </c>
      <c r="E40" s="437">
        <v>0.7</v>
      </c>
      <c r="F40" s="437">
        <f t="shared" si="10"/>
        <v>2935.9221513080388</v>
      </c>
      <c r="G40" s="437">
        <f t="shared" si="6"/>
        <v>88659.537703129507</v>
      </c>
      <c r="H40" s="5"/>
      <c r="I40" s="5"/>
      <c r="J40" s="5"/>
      <c r="K40" s="140" t="s">
        <v>2556</v>
      </c>
      <c r="L40" s="437">
        <f t="shared" si="7"/>
        <v>10873.761186999998</v>
      </c>
      <c r="M40" s="437">
        <v>0.85</v>
      </c>
      <c r="N40" s="437">
        <v>0.5</v>
      </c>
      <c r="O40" s="437">
        <f t="shared" si="11"/>
        <v>208.5652130598568</v>
      </c>
      <c r="P40" s="437">
        <f t="shared" si="8"/>
        <v>963852.53545967885</v>
      </c>
      <c r="Q40" s="5">
        <f t="shared" si="9"/>
        <v>963.85253545967885</v>
      </c>
      <c r="R40" s="5"/>
    </row>
    <row r="41" spans="1:18" x14ac:dyDescent="0.2">
      <c r="A41" s="5"/>
      <c r="B41" s="140" t="s">
        <v>2557</v>
      </c>
      <c r="C41" s="437">
        <f t="shared" si="5"/>
        <v>52.912975359999997</v>
      </c>
      <c r="D41" s="437">
        <v>0.85</v>
      </c>
      <c r="E41" s="437">
        <v>0.7</v>
      </c>
      <c r="F41" s="437">
        <f t="shared" si="10"/>
        <v>2935.9221513080388</v>
      </c>
      <c r="G41" s="437">
        <f t="shared" si="6"/>
        <v>92432.283988369047</v>
      </c>
      <c r="H41" s="5"/>
      <c r="I41" s="5"/>
      <c r="J41" s="5"/>
      <c r="K41" s="140" t="s">
        <v>2557</v>
      </c>
      <c r="L41" s="437">
        <f t="shared" si="7"/>
        <v>11336.474429</v>
      </c>
      <c r="M41" s="437">
        <v>0.85</v>
      </c>
      <c r="N41" s="437">
        <v>0.5</v>
      </c>
      <c r="O41" s="437">
        <f t="shared" si="11"/>
        <v>208.5652130598568</v>
      </c>
      <c r="P41" s="437">
        <f t="shared" si="8"/>
        <v>1004867.5369686015</v>
      </c>
      <c r="Q41" s="5">
        <f t="shared" si="9"/>
        <v>1004.8675369686015</v>
      </c>
      <c r="R41" s="5"/>
    </row>
    <row r="42" spans="1:18" x14ac:dyDescent="0.2">
      <c r="A42" s="5"/>
      <c r="B42" s="140" t="s">
        <v>2558</v>
      </c>
      <c r="C42" s="437">
        <f t="shared" si="5"/>
        <v>56.152545280000005</v>
      </c>
      <c r="D42" s="437">
        <v>0.85</v>
      </c>
      <c r="E42" s="437">
        <v>0.7</v>
      </c>
      <c r="F42" s="437">
        <f t="shared" si="10"/>
        <v>2935.9221513080388</v>
      </c>
      <c r="G42" s="437">
        <f t="shared" si="6"/>
        <v>98091.403416228408</v>
      </c>
      <c r="H42" s="5"/>
      <c r="I42" s="5"/>
      <c r="J42" s="5"/>
      <c r="K42" s="140" t="s">
        <v>2558</v>
      </c>
      <c r="L42" s="437">
        <f t="shared" si="7"/>
        <v>12030.544292</v>
      </c>
      <c r="M42" s="437">
        <v>0.85</v>
      </c>
      <c r="N42" s="437">
        <v>0.5</v>
      </c>
      <c r="O42" s="437">
        <f t="shared" si="11"/>
        <v>208.5652130598568</v>
      </c>
      <c r="P42" s="437">
        <f t="shared" si="8"/>
        <v>1066390.0392319853</v>
      </c>
      <c r="Q42" s="5">
        <f t="shared" si="9"/>
        <v>1066.3900392319854</v>
      </c>
      <c r="R42" s="5"/>
    </row>
    <row r="43" spans="1:18" x14ac:dyDescent="0.2">
      <c r="A43" s="5"/>
      <c r="B43" s="140" t="s">
        <v>2559</v>
      </c>
      <c r="C43" s="437">
        <f t="shared" si="5"/>
        <v>58.852186880000005</v>
      </c>
      <c r="D43" s="437">
        <v>0.85</v>
      </c>
      <c r="E43" s="437">
        <v>0.7</v>
      </c>
      <c r="F43" s="437">
        <f t="shared" si="10"/>
        <v>2935.9221513080388</v>
      </c>
      <c r="G43" s="437">
        <f t="shared" si="6"/>
        <v>102807.33627277784</v>
      </c>
      <c r="H43" s="5"/>
      <c r="I43" s="5"/>
      <c r="J43" s="5"/>
      <c r="K43" s="140" t="s">
        <v>2559</v>
      </c>
      <c r="L43" s="437">
        <f t="shared" si="7"/>
        <v>12608.9358445</v>
      </c>
      <c r="M43" s="437">
        <v>0.85</v>
      </c>
      <c r="N43" s="437">
        <v>0.5</v>
      </c>
      <c r="O43" s="437">
        <f t="shared" si="11"/>
        <v>208.5652130598568</v>
      </c>
      <c r="P43" s="437">
        <f t="shared" si="8"/>
        <v>1117658.7911181385</v>
      </c>
      <c r="Q43" s="5">
        <f t="shared" si="9"/>
        <v>1117.6587911181384</v>
      </c>
      <c r="R43" s="5"/>
    </row>
    <row r="44" spans="1:18" x14ac:dyDescent="0.2">
      <c r="A44" s="5"/>
      <c r="B44" s="140" t="s">
        <v>2560</v>
      </c>
      <c r="C44" s="437">
        <f t="shared" si="5"/>
        <v>61.011900160000003</v>
      </c>
      <c r="D44" s="437">
        <v>0.85</v>
      </c>
      <c r="E44" s="437">
        <v>0.7</v>
      </c>
      <c r="F44" s="437">
        <f t="shared" si="10"/>
        <v>2935.9221513080388</v>
      </c>
      <c r="G44" s="437">
        <f t="shared" si="6"/>
        <v>106580.0825580174</v>
      </c>
      <c r="H44" s="5"/>
      <c r="I44" s="5"/>
      <c r="J44" s="5"/>
      <c r="K44" s="140" t="s">
        <v>2560</v>
      </c>
      <c r="L44" s="437">
        <f t="shared" si="7"/>
        <v>13071.6490865</v>
      </c>
      <c r="M44" s="437">
        <v>0.85</v>
      </c>
      <c r="N44" s="437">
        <v>0.5</v>
      </c>
      <c r="O44" s="437">
        <f t="shared" si="11"/>
        <v>208.5652130598568</v>
      </c>
      <c r="P44" s="437">
        <f t="shared" si="8"/>
        <v>1158673.7926270608</v>
      </c>
      <c r="Q44" s="5">
        <f t="shared" si="9"/>
        <v>1158.6737926270607</v>
      </c>
      <c r="R44" s="5"/>
    </row>
    <row r="45" spans="1:18" x14ac:dyDescent="0.2">
      <c r="A45" s="5"/>
      <c r="B45" s="140" t="s">
        <v>2561</v>
      </c>
      <c r="C45" s="437">
        <f t="shared" si="5"/>
        <v>63.171613440000002</v>
      </c>
      <c r="D45" s="437">
        <v>0.85</v>
      </c>
      <c r="E45" s="437">
        <v>0.7</v>
      </c>
      <c r="F45" s="437">
        <f t="shared" si="10"/>
        <v>2935.9221513080388</v>
      </c>
      <c r="G45" s="437">
        <f t="shared" si="6"/>
        <v>110352.82884325695</v>
      </c>
      <c r="H45" s="5"/>
      <c r="I45" s="5"/>
      <c r="J45" s="5"/>
      <c r="K45" s="140" t="s">
        <v>2562</v>
      </c>
      <c r="L45" s="437">
        <f t="shared" si="7"/>
        <v>13534.362328499999</v>
      </c>
      <c r="M45" s="437">
        <v>0.85</v>
      </c>
      <c r="N45" s="437">
        <v>0.5</v>
      </c>
      <c r="O45" s="437">
        <f t="shared" si="11"/>
        <v>208.5652130598568</v>
      </c>
      <c r="P45" s="437">
        <f t="shared" si="8"/>
        <v>1199688.7941359833</v>
      </c>
      <c r="Q45" s="5">
        <f t="shared" si="9"/>
        <v>1199.6887941359832</v>
      </c>
      <c r="R45" s="5"/>
    </row>
    <row r="46" spans="1:18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2">
      <c r="A48" s="5"/>
      <c r="B48" s="69" t="s">
        <v>2568</v>
      </c>
      <c r="C48" s="5"/>
      <c r="D48" s="5"/>
      <c r="E48" s="5"/>
      <c r="F48" s="807">
        <f>SUM(G38:G45)/8</f>
        <v>95497.640345126216</v>
      </c>
      <c r="G48" s="64" t="s">
        <v>1833</v>
      </c>
      <c r="H48" s="5"/>
      <c r="I48" s="5"/>
      <c r="J48" s="5"/>
      <c r="K48" s="69" t="s">
        <v>2568</v>
      </c>
      <c r="L48" s="5"/>
      <c r="M48" s="5"/>
      <c r="N48" s="5"/>
      <c r="O48" s="118">
        <f>SUM(Q38:Q45)/8</f>
        <v>1038.1922256946011</v>
      </c>
      <c r="P48" s="64" t="s">
        <v>821</v>
      </c>
      <c r="Q48" s="5"/>
      <c r="R48" s="5"/>
    </row>
    <row r="49" spans="1:18" x14ac:dyDescent="0.2">
      <c r="A49" s="5"/>
      <c r="B49" s="64" t="s">
        <v>2569</v>
      </c>
      <c r="C49" s="5"/>
      <c r="D49" s="5"/>
      <c r="E49" s="5"/>
      <c r="F49" s="5"/>
      <c r="G49" s="5"/>
      <c r="H49" s="5"/>
      <c r="I49" s="5"/>
      <c r="J49" s="5"/>
      <c r="K49" s="64" t="s">
        <v>2570</v>
      </c>
      <c r="L49" s="5"/>
      <c r="M49" s="5"/>
      <c r="N49" s="5"/>
      <c r="O49" s="5"/>
      <c r="P49" s="5"/>
      <c r="Q49" s="5"/>
      <c r="R49" s="5"/>
    </row>
    <row r="50" spans="1:18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">
      <c r="A51" s="5"/>
      <c r="B51" s="69" t="s">
        <v>2568</v>
      </c>
      <c r="C51" s="5"/>
      <c r="D51" s="5"/>
      <c r="E51" s="5"/>
      <c r="F51" s="807">
        <f>+'Wind Forces'!N136</f>
        <v>159462.51604112616</v>
      </c>
      <c r="G51" s="64" t="s">
        <v>1833</v>
      </c>
      <c r="H51" s="5"/>
      <c r="I51" s="5"/>
      <c r="J51" s="5"/>
      <c r="K51" s="69" t="s">
        <v>2568</v>
      </c>
      <c r="L51" s="5"/>
      <c r="M51" s="5"/>
      <c r="N51" s="5"/>
      <c r="O51" s="594">
        <f>'Wind Forces'!W39</f>
        <v>0</v>
      </c>
      <c r="P51" s="64" t="s">
        <v>1833</v>
      </c>
      <c r="Q51" s="5"/>
      <c r="R51" s="5"/>
    </row>
    <row r="52" spans="1:18" x14ac:dyDescent="0.2">
      <c r="A52" s="5"/>
      <c r="B52" s="64" t="s">
        <v>2571</v>
      </c>
      <c r="C52" s="5"/>
      <c r="D52" s="5"/>
      <c r="E52" s="5"/>
      <c r="F52" s="5"/>
      <c r="G52" s="5"/>
      <c r="H52" s="5"/>
      <c r="I52" s="5"/>
      <c r="J52" s="5"/>
      <c r="K52" s="64" t="s">
        <v>2571</v>
      </c>
      <c r="L52" s="5"/>
      <c r="M52" s="5"/>
      <c r="N52" s="5"/>
      <c r="O52" s="5"/>
      <c r="P52" s="5"/>
      <c r="Q52" s="5"/>
      <c r="R52" s="5"/>
    </row>
    <row r="53" spans="1:18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2">
      <c r="A55" s="5"/>
      <c r="B55" s="284" t="str">
        <f>+IF(F51&gt;F48, "NOTE: API 620 code is the critical one so it will be followed for the mechanical calculations","NOTE: ASCI-7-10 code is the critical one so it will be followed for the mechanical calculations")</f>
        <v>NOTE: API 620 code is the critical one so it will be followed for the mechanical calculations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</sheetData>
  <mergeCells count="24">
    <mergeCell ref="J5:L5"/>
    <mergeCell ref="M5:N5"/>
    <mergeCell ref="O5:P5"/>
    <mergeCell ref="A20:I20"/>
    <mergeCell ref="A35:I35"/>
    <mergeCell ref="J7:Q7"/>
    <mergeCell ref="A7:H7"/>
    <mergeCell ref="A5:C5"/>
    <mergeCell ref="D5:E5"/>
    <mergeCell ref="F5:G5"/>
    <mergeCell ref="J1:L3"/>
    <mergeCell ref="M1:R1"/>
    <mergeCell ref="M2:R2"/>
    <mergeCell ref="M3:R3"/>
    <mergeCell ref="J4:L4"/>
    <mergeCell ref="M4:N4"/>
    <mergeCell ref="O4:P4"/>
    <mergeCell ref="A1:C3"/>
    <mergeCell ref="D1:I1"/>
    <mergeCell ref="D2:I2"/>
    <mergeCell ref="D3:I3"/>
    <mergeCell ref="A4:C4"/>
    <mergeCell ref="D4:E4"/>
    <mergeCell ref="F4:G4"/>
  </mergeCells>
  <pageMargins left="0.70866141732283472" right="0.70866141732283472" top="0.74803149606299213" bottom="0.74803149606299213" header="0.31496062992125978" footer="0.31496062992125978"/>
  <pageSetup paperSize="9" scale="8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50"/>
    <pageSetUpPr fitToPage="1"/>
  </sheetPr>
  <dimension ref="A1:AE60"/>
  <sheetViews>
    <sheetView topLeftCell="A31" workbookViewId="0">
      <selection activeCell="L54" sqref="L54"/>
    </sheetView>
    <sheetView tabSelected="1" topLeftCell="A25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3" width="9.140625" customWidth="1"/>
    <col min="4" max="4" width="8.140625" customWidth="1"/>
    <col min="5" max="5" width="10.42578125" customWidth="1"/>
    <col min="6" max="6" width="13.85546875" customWidth="1"/>
    <col min="7" max="7" width="7.85546875" customWidth="1"/>
    <col min="8" max="8" width="9.140625" bestFit="1" customWidth="1"/>
    <col min="9" max="9" width="6.85546875" customWidth="1"/>
    <col min="10" max="10" width="8.140625" customWidth="1"/>
    <col min="11" max="11" width="10.42578125" customWidth="1"/>
    <col min="12" max="12" width="9.85546875" customWidth="1"/>
    <col min="13" max="13" width="9.42578125" customWidth="1"/>
    <col min="14" max="14" width="9.140625" customWidth="1"/>
    <col min="15" max="16" width="9.85546875" customWidth="1"/>
    <col min="17" max="17" width="9" customWidth="1"/>
    <col min="18" max="18" width="16.85546875" bestFit="1" customWidth="1"/>
    <col min="19" max="19" width="8.140625" customWidth="1"/>
    <col min="20" max="20" width="9.140625" customWidth="1"/>
    <col min="21" max="21" width="8.42578125" customWidth="1"/>
  </cols>
  <sheetData>
    <row r="1" spans="1:31" ht="17.25" customHeight="1" thickTop="1" thickBot="1" x14ac:dyDescent="0.3">
      <c r="A1" s="28"/>
      <c r="B1" s="4"/>
      <c r="C1" s="126"/>
      <c r="D1" s="913" t="str">
        <f>O1</f>
        <v>Mechanical  Calculations</v>
      </c>
      <c r="E1" s="842"/>
      <c r="F1" s="842"/>
      <c r="G1" s="842"/>
      <c r="H1" s="842"/>
      <c r="I1" s="842"/>
      <c r="J1" s="842"/>
      <c r="K1" s="843"/>
      <c r="L1" s="28"/>
      <c r="M1" s="4"/>
      <c r="N1" s="126"/>
      <c r="O1" s="913" t="str">
        <f>Y1</f>
        <v>Mechanical  Calculations</v>
      </c>
      <c r="P1" s="842"/>
      <c r="Q1" s="842"/>
      <c r="R1" s="842"/>
      <c r="S1" s="842"/>
      <c r="T1" s="842"/>
      <c r="U1" s="843"/>
      <c r="V1" s="28"/>
      <c r="W1" s="4"/>
      <c r="X1" s="126"/>
      <c r="Y1" s="913" t="str">
        <f>'Front Page'!A13</f>
        <v>Mechanical  Calculations</v>
      </c>
      <c r="Z1" s="842"/>
      <c r="AA1" s="842"/>
      <c r="AB1" s="842"/>
      <c r="AC1" s="842"/>
      <c r="AD1" s="842"/>
      <c r="AE1" s="843"/>
    </row>
    <row r="2" spans="1:31" ht="17.25" customHeight="1" thickTop="1" thickBot="1" x14ac:dyDescent="0.3">
      <c r="A2" s="6"/>
      <c r="B2" s="5"/>
      <c r="C2" s="127"/>
      <c r="D2" s="913"/>
      <c r="E2" s="842"/>
      <c r="F2" s="842"/>
      <c r="G2" s="842"/>
      <c r="H2" s="842"/>
      <c r="I2" s="842"/>
      <c r="J2" s="842"/>
      <c r="K2" s="843"/>
      <c r="L2" s="6"/>
      <c r="M2" s="5"/>
      <c r="N2" s="127"/>
      <c r="O2" s="913"/>
      <c r="P2" s="842"/>
      <c r="Q2" s="842"/>
      <c r="R2" s="842"/>
      <c r="S2" s="842"/>
      <c r="T2" s="842"/>
      <c r="U2" s="843"/>
      <c r="V2" s="6"/>
      <c r="W2" s="5"/>
      <c r="X2" s="127"/>
      <c r="Y2" s="839"/>
      <c r="Z2" s="831"/>
      <c r="AA2" s="831"/>
      <c r="AB2" s="831"/>
      <c r="AC2" s="831"/>
      <c r="AD2" s="831"/>
      <c r="AE2" s="832"/>
    </row>
    <row r="3" spans="1:31" ht="17.25" customHeight="1" thickTop="1" thickBot="1" x14ac:dyDescent="0.3">
      <c r="A3" s="8"/>
      <c r="B3" s="9"/>
      <c r="C3" s="128"/>
      <c r="D3" s="913" t="str">
        <f>O3</f>
        <v>Design Data</v>
      </c>
      <c r="E3" s="842"/>
      <c r="F3" s="842"/>
      <c r="G3" s="842"/>
      <c r="H3" s="842"/>
      <c r="I3" s="842"/>
      <c r="J3" s="842"/>
      <c r="K3" s="843"/>
      <c r="L3" s="8"/>
      <c r="M3" s="9"/>
      <c r="N3" s="128"/>
      <c r="O3" s="913" t="str">
        <f>Y3</f>
        <v>Design Data</v>
      </c>
      <c r="P3" s="842"/>
      <c r="Q3" s="842"/>
      <c r="R3" s="842"/>
      <c r="S3" s="842"/>
      <c r="T3" s="842"/>
      <c r="U3" s="843"/>
      <c r="V3" s="8"/>
      <c r="W3" s="9"/>
      <c r="X3" s="128"/>
      <c r="Y3" s="839" t="s">
        <v>103</v>
      </c>
      <c r="Z3" s="831"/>
      <c r="AA3" s="831"/>
      <c r="AB3" s="831"/>
      <c r="AC3" s="831"/>
      <c r="AD3" s="831"/>
      <c r="AE3" s="832"/>
    </row>
    <row r="4" spans="1:31" ht="15.75" customHeight="1" thickBot="1" x14ac:dyDescent="0.3">
      <c r="A4" s="873"/>
      <c r="B4" s="848"/>
      <c r="C4" s="865"/>
      <c r="D4" s="912" t="str">
        <f>O4</f>
        <v>Doc Nº</v>
      </c>
      <c r="E4" s="831"/>
      <c r="F4" s="832"/>
      <c r="G4" s="846"/>
      <c r="H4" s="831"/>
      <c r="I4" s="832"/>
      <c r="J4" s="846"/>
      <c r="K4" s="832"/>
      <c r="L4" s="873"/>
      <c r="M4" s="848"/>
      <c r="N4" s="865"/>
      <c r="O4" s="912" t="str">
        <f>Y4</f>
        <v>Doc Nº</v>
      </c>
      <c r="P4" s="831"/>
      <c r="Q4" s="832"/>
      <c r="R4" s="846"/>
      <c r="S4" s="832"/>
      <c r="T4" s="846"/>
      <c r="U4" s="832"/>
      <c r="V4" s="873"/>
      <c r="W4" s="848"/>
      <c r="X4" s="865"/>
      <c r="Y4" s="915" t="str">
        <f>'Front Page'!D4</f>
        <v>Doc Nº</v>
      </c>
      <c r="Z4" s="831"/>
      <c r="AA4" s="832"/>
      <c r="AB4" s="846"/>
      <c r="AC4" s="832"/>
      <c r="AD4" s="846"/>
      <c r="AE4" s="832"/>
    </row>
    <row r="5" spans="1:31" ht="15.75" customHeight="1" thickBot="1" x14ac:dyDescent="0.3">
      <c r="A5" s="860"/>
      <c r="B5" s="851"/>
      <c r="C5" s="861"/>
      <c r="D5" s="912" t="str">
        <f>O5</f>
        <v>Project</v>
      </c>
      <c r="E5" s="831"/>
      <c r="F5" s="832"/>
      <c r="G5" s="846"/>
      <c r="H5" s="831"/>
      <c r="I5" s="832"/>
      <c r="J5" s="131" t="s">
        <v>5</v>
      </c>
      <c r="K5" s="132"/>
      <c r="L5" s="860"/>
      <c r="M5" s="851"/>
      <c r="N5" s="861"/>
      <c r="O5" s="912" t="str">
        <f>Y5</f>
        <v>Project</v>
      </c>
      <c r="P5" s="831"/>
      <c r="Q5" s="832"/>
      <c r="R5" s="846"/>
      <c r="S5" s="832"/>
      <c r="T5" s="131" t="s">
        <v>5</v>
      </c>
      <c r="U5" s="132"/>
      <c r="V5" s="860"/>
      <c r="W5" s="851"/>
      <c r="X5" s="861"/>
      <c r="Y5" s="914" t="str">
        <f>'Front Page'!D5</f>
        <v>Project</v>
      </c>
      <c r="Z5" s="834"/>
      <c r="AA5" s="835"/>
      <c r="AB5" s="899"/>
      <c r="AC5" s="835"/>
      <c r="AD5" s="131" t="s">
        <v>5</v>
      </c>
      <c r="AE5" s="132"/>
    </row>
    <row r="6" spans="1:31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0.25" customHeight="1" x14ac:dyDescent="0.3">
      <c r="A7" s="134" t="s">
        <v>46</v>
      </c>
      <c r="B7" s="134"/>
      <c r="C7" s="134"/>
      <c r="D7" s="117"/>
      <c r="E7" s="5"/>
      <c r="F7" s="117"/>
      <c r="G7" s="117"/>
      <c r="H7" s="117"/>
      <c r="I7" s="117"/>
      <c r="J7" s="117"/>
      <c r="K7" s="117"/>
      <c r="L7" s="135"/>
      <c r="M7" s="136" t="s">
        <v>104</v>
      </c>
      <c r="N7" s="135"/>
      <c r="O7" s="135"/>
      <c r="P7" s="135"/>
      <c r="Q7" s="135"/>
      <c r="R7" s="135"/>
      <c r="S7" s="135"/>
      <c r="T7" s="135"/>
      <c r="U7" s="135"/>
      <c r="V7" s="5"/>
      <c r="W7" s="5"/>
      <c r="X7" s="5"/>
      <c r="Y7" s="5"/>
      <c r="Z7" s="5"/>
      <c r="AA7" s="5"/>
      <c r="AB7" s="5"/>
      <c r="AC7" s="5"/>
      <c r="AD7" s="5"/>
      <c r="AE7" s="117"/>
    </row>
    <row r="8" spans="1:31" ht="15.75" customHeight="1" x14ac:dyDescent="0.25">
      <c r="A8" s="137"/>
      <c r="B8" s="138"/>
      <c r="C8" s="138"/>
      <c r="D8" s="138"/>
      <c r="E8" s="138"/>
      <c r="F8" s="41"/>
      <c r="G8" s="902" t="s">
        <v>105</v>
      </c>
      <c r="H8" s="813"/>
      <c r="I8" s="139"/>
      <c r="J8" s="902" t="s">
        <v>106</v>
      </c>
      <c r="K8" s="813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5"/>
      <c r="W8" s="5"/>
      <c r="X8" s="5"/>
      <c r="Y8" s="5"/>
      <c r="Z8" s="5"/>
      <c r="AA8" s="5"/>
      <c r="AB8" s="5"/>
      <c r="AC8" s="5"/>
      <c r="AD8" s="5"/>
      <c r="AE8" s="117"/>
    </row>
    <row r="9" spans="1:31" ht="18" customHeight="1" x14ac:dyDescent="0.25">
      <c r="A9" s="114"/>
      <c r="B9" s="5"/>
      <c r="C9" s="5"/>
      <c r="D9" s="5"/>
      <c r="E9" s="5"/>
      <c r="F9" s="64" t="s">
        <v>107</v>
      </c>
      <c r="G9" s="140" t="s">
        <v>108</v>
      </c>
      <c r="H9" s="140" t="s">
        <v>109</v>
      </c>
      <c r="I9" s="14"/>
      <c r="J9" s="140" t="s">
        <v>108</v>
      </c>
      <c r="K9" s="140" t="s">
        <v>109</v>
      </c>
      <c r="L9" s="135"/>
      <c r="M9" s="141" t="s">
        <v>105</v>
      </c>
      <c r="N9" s="135"/>
      <c r="O9" s="135"/>
      <c r="P9" s="135"/>
      <c r="Q9" s="135"/>
      <c r="R9" s="135"/>
      <c r="S9" s="135"/>
      <c r="T9" s="135"/>
      <c r="U9" s="135"/>
      <c r="V9" s="5"/>
      <c r="W9" s="5"/>
      <c r="X9" s="5"/>
      <c r="Y9" s="5"/>
      <c r="Z9" s="5"/>
      <c r="AA9" s="5"/>
      <c r="AB9" s="5"/>
      <c r="AC9" s="5"/>
      <c r="AD9" s="5"/>
      <c r="AE9" s="142"/>
    </row>
    <row r="10" spans="1:31" ht="18" customHeight="1" x14ac:dyDescent="0.25">
      <c r="A10" s="143" t="s">
        <v>110</v>
      </c>
      <c r="B10" s="144"/>
      <c r="C10" s="144"/>
      <c r="D10" s="144"/>
      <c r="E10" s="144"/>
      <c r="F10" s="144"/>
      <c r="G10" s="145">
        <v>-196</v>
      </c>
      <c r="H10" s="146">
        <f>G10*1.8+32</f>
        <v>-320.8</v>
      </c>
      <c r="I10" s="147"/>
      <c r="J10" s="148">
        <v>49</v>
      </c>
      <c r="K10" s="146">
        <f>J10*1.8+32</f>
        <v>120.2</v>
      </c>
      <c r="L10" s="135"/>
      <c r="M10" s="141"/>
      <c r="N10" s="135"/>
      <c r="O10" s="135"/>
      <c r="P10" s="135"/>
      <c r="Q10" s="135"/>
      <c r="R10" s="135"/>
      <c r="S10" s="135"/>
      <c r="T10" s="909" t="s">
        <v>111</v>
      </c>
      <c r="U10" s="809"/>
      <c r="V10" s="5"/>
      <c r="W10" s="5"/>
      <c r="X10" s="5"/>
      <c r="Y10" s="5"/>
      <c r="Z10" s="5"/>
      <c r="AA10" s="5"/>
      <c r="AB10" s="5"/>
      <c r="AC10" s="5"/>
      <c r="AD10" s="5"/>
      <c r="AE10" s="142"/>
    </row>
    <row r="11" spans="1:31" ht="15" customHeight="1" x14ac:dyDescent="0.25">
      <c r="A11" s="143" t="s">
        <v>112</v>
      </c>
      <c r="B11" s="144"/>
      <c r="C11" s="144"/>
      <c r="D11" s="144"/>
      <c r="E11" s="144"/>
      <c r="F11" s="144"/>
      <c r="G11" s="145">
        <v>-182</v>
      </c>
      <c r="H11" s="146">
        <f>G11*1.8+32</f>
        <v>-295.60000000000002</v>
      </c>
      <c r="I11" s="147"/>
      <c r="J11" s="148">
        <v>-28.9</v>
      </c>
      <c r="K11" s="146">
        <f>J11*1.8+32</f>
        <v>-20.019999999999996</v>
      </c>
      <c r="L11" s="135"/>
      <c r="M11" s="149" t="s">
        <v>113</v>
      </c>
      <c r="N11" s="135"/>
      <c r="O11" s="135"/>
      <c r="P11" s="135"/>
      <c r="Q11" s="135"/>
      <c r="R11" s="149" t="s">
        <v>114</v>
      </c>
      <c r="S11" s="5"/>
      <c r="T11" s="809"/>
      <c r="U11" s="809"/>
      <c r="V11" s="5"/>
      <c r="W11" s="5"/>
      <c r="X11" s="5"/>
      <c r="Y11" s="5"/>
      <c r="Z11" s="5"/>
      <c r="AA11" s="5"/>
      <c r="AB11" s="5"/>
      <c r="AC11" s="5"/>
      <c r="AD11" s="5"/>
      <c r="AE11" s="142"/>
    </row>
    <row r="12" spans="1:31" ht="14.25" customHeight="1" x14ac:dyDescent="0.2">
      <c r="A12" s="150"/>
      <c r="B12" s="64"/>
      <c r="C12" s="64"/>
      <c r="D12" s="64"/>
      <c r="E12" s="64"/>
      <c r="F12" s="64"/>
      <c r="G12" s="64"/>
      <c r="H12" s="64"/>
      <c r="I12" s="64"/>
      <c r="J12" s="64"/>
      <c r="K12" s="151"/>
      <c r="L12" s="135">
        <v>1</v>
      </c>
      <c r="M12" s="135" t="s">
        <v>115</v>
      </c>
      <c r="N12" s="135"/>
      <c r="O12" s="135"/>
      <c r="P12" s="135"/>
      <c r="Q12" s="135"/>
      <c r="R12" s="135" t="s">
        <v>116</v>
      </c>
      <c r="S12" s="135"/>
      <c r="T12" s="910" t="s">
        <v>117</v>
      </c>
      <c r="U12" s="809"/>
      <c r="V12" s="5"/>
      <c r="W12" s="5"/>
      <c r="X12" s="5"/>
      <c r="Y12" s="5"/>
      <c r="Z12" s="5"/>
      <c r="AA12" s="5"/>
      <c r="AB12" s="5"/>
      <c r="AC12" s="5"/>
      <c r="AD12" s="5"/>
      <c r="AE12" s="142"/>
    </row>
    <row r="13" spans="1:31" ht="14.25" customHeight="1" x14ac:dyDescent="0.2">
      <c r="A13" s="143" t="s">
        <v>118</v>
      </c>
      <c r="B13" s="144"/>
      <c r="C13" s="144"/>
      <c r="D13" s="144"/>
      <c r="E13" s="144"/>
      <c r="F13" s="144"/>
      <c r="G13" s="145">
        <v>0.15</v>
      </c>
      <c r="H13" s="152">
        <f>G13*14.5</f>
        <v>2.1749999999999998</v>
      </c>
      <c r="I13" s="147"/>
      <c r="J13" s="153">
        <v>5.5899999999999998E-2</v>
      </c>
      <c r="K13" s="154">
        <f>J13*14.5</f>
        <v>0.81054999999999999</v>
      </c>
      <c r="L13" s="135">
        <v>2</v>
      </c>
      <c r="M13" s="911" t="s">
        <v>119</v>
      </c>
      <c r="N13" s="809"/>
      <c r="O13" s="809"/>
      <c r="P13" s="809"/>
      <c r="Q13" s="809"/>
      <c r="R13" s="135" t="s">
        <v>120</v>
      </c>
      <c r="S13" s="135"/>
      <c r="T13" s="910" t="s">
        <v>121</v>
      </c>
      <c r="U13" s="809"/>
      <c r="V13" s="5"/>
      <c r="W13" s="5"/>
      <c r="X13" s="5"/>
      <c r="Y13" s="5"/>
      <c r="Z13" s="5"/>
      <c r="AA13" s="5"/>
      <c r="AB13" s="5"/>
      <c r="AC13" s="5"/>
      <c r="AD13" s="5"/>
      <c r="AE13" s="142"/>
    </row>
    <row r="14" spans="1:31" ht="14.25" customHeight="1" x14ac:dyDescent="0.2">
      <c r="A14" s="64"/>
      <c r="B14" s="64"/>
      <c r="C14" s="64"/>
      <c r="D14" s="64"/>
      <c r="E14" s="64"/>
      <c r="F14" s="64"/>
      <c r="G14" s="64"/>
      <c r="H14" s="64"/>
      <c r="I14" s="155"/>
      <c r="J14" s="155"/>
      <c r="K14" s="156"/>
      <c r="L14" s="5"/>
      <c r="M14" s="809"/>
      <c r="N14" s="809"/>
      <c r="O14" s="809"/>
      <c r="P14" s="809"/>
      <c r="Q14" s="809"/>
      <c r="R14" s="5"/>
      <c r="S14" s="135"/>
      <c r="T14" s="808"/>
      <c r="U14" s="809"/>
      <c r="V14" s="5"/>
      <c r="W14" s="5"/>
      <c r="X14" s="5"/>
      <c r="Y14" s="5"/>
      <c r="Z14" s="5"/>
      <c r="AA14" s="5"/>
      <c r="AB14" s="5"/>
      <c r="AC14" s="5"/>
      <c r="AD14" s="5"/>
      <c r="AE14" s="142"/>
    </row>
    <row r="15" spans="1:31" ht="14.25" customHeight="1" x14ac:dyDescent="0.2">
      <c r="A15" s="143" t="s">
        <v>122</v>
      </c>
      <c r="B15" s="144"/>
      <c r="C15" s="144"/>
      <c r="D15" s="144"/>
      <c r="E15" s="144"/>
      <c r="F15" s="147"/>
      <c r="G15" s="144"/>
      <c r="H15" s="147"/>
      <c r="I15" s="147"/>
      <c r="J15" s="147"/>
      <c r="K15" s="157"/>
      <c r="L15" s="135">
        <v>3</v>
      </c>
      <c r="M15" s="135" t="s">
        <v>123</v>
      </c>
      <c r="N15" s="135"/>
      <c r="O15" s="135"/>
      <c r="P15" s="135"/>
      <c r="Q15" s="135"/>
      <c r="R15" s="135" t="s">
        <v>124</v>
      </c>
      <c r="S15" s="5"/>
      <c r="T15" s="910" t="s">
        <v>125</v>
      </c>
      <c r="U15" s="809"/>
      <c r="V15" s="5"/>
      <c r="W15" s="5"/>
      <c r="X15" s="5"/>
      <c r="Y15" s="5"/>
      <c r="Z15" s="5"/>
      <c r="AA15" s="5"/>
      <c r="AB15" s="5"/>
      <c r="AC15" s="5"/>
      <c r="AD15" s="5"/>
      <c r="AE15" s="142"/>
    </row>
    <row r="16" spans="1:31" ht="14.25" customHeight="1" x14ac:dyDescent="0.2">
      <c r="A16" s="143" t="s">
        <v>126</v>
      </c>
      <c r="B16" s="144"/>
      <c r="C16" s="144"/>
      <c r="D16" s="144"/>
      <c r="E16" s="144"/>
      <c r="F16" s="144" t="s">
        <v>127</v>
      </c>
      <c r="G16" s="158">
        <v>8.0000000000000002E-3</v>
      </c>
      <c r="H16" s="159">
        <f>G16*14.5</f>
        <v>0.11600000000000001</v>
      </c>
      <c r="I16" s="147"/>
      <c r="J16" s="158">
        <v>8.0000000000000002E-3</v>
      </c>
      <c r="K16" s="159">
        <f>J16*14.5</f>
        <v>0.11600000000000001</v>
      </c>
      <c r="L16" s="135">
        <v>4</v>
      </c>
      <c r="M16" s="135" t="s">
        <v>128</v>
      </c>
      <c r="N16" s="135"/>
      <c r="O16" s="135"/>
      <c r="P16" s="135"/>
      <c r="Q16" s="135"/>
      <c r="R16" s="135" t="s">
        <v>129</v>
      </c>
      <c r="S16" s="135"/>
      <c r="T16" s="910" t="s">
        <v>117</v>
      </c>
      <c r="U16" s="809"/>
      <c r="V16" s="5"/>
      <c r="W16" s="5"/>
      <c r="X16" s="5"/>
      <c r="Y16" s="5"/>
      <c r="Z16" s="5"/>
      <c r="AA16" s="5"/>
      <c r="AB16" s="5"/>
      <c r="AC16" s="5"/>
      <c r="AD16" s="5"/>
      <c r="AE16" s="142"/>
    </row>
    <row r="17" spans="1:31" ht="14.25" customHeight="1" x14ac:dyDescent="0.2">
      <c r="A17" s="143" t="s">
        <v>130</v>
      </c>
      <c r="B17" s="144"/>
      <c r="C17" s="144"/>
      <c r="D17" s="144"/>
      <c r="E17" s="144" t="s">
        <v>131</v>
      </c>
      <c r="F17" s="144"/>
      <c r="G17" s="160">
        <v>3.8899999999999997E-2</v>
      </c>
      <c r="H17" s="161">
        <f>G17*14.505</f>
        <v>0.56424450000000004</v>
      </c>
      <c r="I17" s="162"/>
      <c r="J17" s="919" t="s">
        <v>132</v>
      </c>
      <c r="K17" s="812"/>
      <c r="L17" s="135">
        <v>5</v>
      </c>
      <c r="M17" s="135" t="s">
        <v>133</v>
      </c>
      <c r="N17" s="135"/>
      <c r="O17" s="135"/>
      <c r="P17" s="135"/>
      <c r="Q17" s="135"/>
      <c r="R17" s="135" t="s">
        <v>134</v>
      </c>
      <c r="S17" s="135"/>
      <c r="T17" s="910" t="s">
        <v>135</v>
      </c>
      <c r="U17" s="809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14.25" customHeight="1" x14ac:dyDescent="0.2">
      <c r="A18" s="143" t="s">
        <v>136</v>
      </c>
      <c r="B18" s="143"/>
      <c r="C18" s="143"/>
      <c r="D18" s="143"/>
      <c r="E18" s="164" t="s">
        <v>137</v>
      </c>
      <c r="F18" s="144"/>
      <c r="G18" s="158">
        <v>6.2899999999999998E-2</v>
      </c>
      <c r="H18" s="161">
        <f>G18*14.505</f>
        <v>0.91236450000000002</v>
      </c>
      <c r="I18" s="165"/>
      <c r="J18" s="158">
        <v>4.8000000000000001E-2</v>
      </c>
      <c r="K18" s="161">
        <f>J18*14.505</f>
        <v>0.69624000000000008</v>
      </c>
      <c r="L18" s="135">
        <v>6</v>
      </c>
      <c r="M18" s="135" t="s">
        <v>138</v>
      </c>
      <c r="N18" s="135"/>
      <c r="O18" s="135"/>
      <c r="P18" s="135"/>
      <c r="Q18" s="135"/>
      <c r="R18" s="135" t="s">
        <v>139</v>
      </c>
      <c r="S18" s="135"/>
      <c r="T18" s="910" t="s">
        <v>121</v>
      </c>
      <c r="U18" s="809"/>
      <c r="V18" s="5"/>
      <c r="W18" s="5"/>
      <c r="X18" s="5"/>
      <c r="Y18" s="5"/>
      <c r="Z18" s="5"/>
      <c r="AA18" s="5"/>
      <c r="AB18" s="5"/>
      <c r="AC18" s="5"/>
      <c r="AD18" s="5"/>
      <c r="AE18" s="142"/>
    </row>
    <row r="19" spans="1:31" ht="14.25" customHeight="1" x14ac:dyDescent="0.2">
      <c r="A19" s="166" t="s">
        <v>140</v>
      </c>
      <c r="B19" s="144"/>
      <c r="C19" s="144"/>
      <c r="D19" s="144"/>
      <c r="E19" s="144"/>
      <c r="F19" s="144"/>
      <c r="G19" s="163" t="s">
        <v>141</v>
      </c>
      <c r="H19" s="167"/>
      <c r="I19" s="147"/>
      <c r="J19" s="145">
        <v>91.3</v>
      </c>
      <c r="K19" s="168">
        <f>J19*0.062428</f>
        <v>5.6996763999999995</v>
      </c>
      <c r="L19" s="135">
        <v>7</v>
      </c>
      <c r="M19" s="135" t="s">
        <v>142</v>
      </c>
      <c r="N19" s="135"/>
      <c r="O19" s="135"/>
      <c r="P19" s="135"/>
      <c r="Q19" s="135"/>
      <c r="R19" s="135" t="s">
        <v>139</v>
      </c>
      <c r="S19" s="135"/>
      <c r="T19" s="910" t="s">
        <v>121</v>
      </c>
      <c r="U19" s="809"/>
      <c r="V19" s="5"/>
      <c r="W19" s="5"/>
      <c r="X19" s="5"/>
      <c r="Y19" s="5"/>
      <c r="Z19" s="5"/>
      <c r="AA19" s="5"/>
      <c r="AB19" s="5"/>
      <c r="AC19" s="5"/>
      <c r="AD19" s="5"/>
      <c r="AE19" s="142"/>
    </row>
    <row r="20" spans="1:31" ht="14.25" customHeight="1" x14ac:dyDescent="0.2">
      <c r="A20" s="166" t="s">
        <v>143</v>
      </c>
      <c r="B20" s="144"/>
      <c r="C20" s="144"/>
      <c r="D20" s="144" t="s">
        <v>144</v>
      </c>
      <c r="E20" s="144"/>
      <c r="F20" s="169"/>
      <c r="G20" s="158">
        <v>2.3900000000000001E-2</v>
      </c>
      <c r="H20" s="158">
        <v>50</v>
      </c>
      <c r="I20" s="162"/>
      <c r="J20" s="170"/>
      <c r="K20" s="151"/>
      <c r="L20" s="135">
        <v>8</v>
      </c>
      <c r="M20" s="135" t="s">
        <v>145</v>
      </c>
      <c r="N20" s="135"/>
      <c r="O20" s="135"/>
      <c r="P20" s="135"/>
      <c r="Q20" s="135"/>
      <c r="R20" s="135" t="s">
        <v>129</v>
      </c>
      <c r="S20" s="135"/>
      <c r="T20" s="910" t="s">
        <v>146</v>
      </c>
      <c r="U20" s="809"/>
      <c r="V20" s="5"/>
      <c r="W20" s="5"/>
      <c r="X20" s="5"/>
      <c r="Y20" s="5"/>
      <c r="Z20" s="5"/>
      <c r="AA20" s="5"/>
      <c r="AB20" s="5"/>
      <c r="AC20" s="5"/>
      <c r="AD20" s="5"/>
      <c r="AE20" s="142"/>
    </row>
    <row r="21" spans="1:31" ht="14.25" customHeight="1" x14ac:dyDescent="0.2">
      <c r="A21" s="171" t="s">
        <v>147</v>
      </c>
      <c r="B21" s="164"/>
      <c r="C21" s="164"/>
      <c r="D21" s="164" t="s">
        <v>144</v>
      </c>
      <c r="E21" s="164"/>
      <c r="F21" s="172"/>
      <c r="G21" s="158">
        <v>4.7899999999999998E-2</v>
      </c>
      <c r="H21" s="158">
        <v>100</v>
      </c>
      <c r="I21" s="165"/>
      <c r="J21" s="170"/>
      <c r="K21" s="151"/>
      <c r="L21" s="135">
        <v>9</v>
      </c>
      <c r="M21" s="135" t="s">
        <v>148</v>
      </c>
      <c r="N21" s="135"/>
      <c r="O21" s="135"/>
      <c r="P21" s="135"/>
      <c r="Q21" s="135"/>
      <c r="R21" s="135" t="s">
        <v>149</v>
      </c>
      <c r="S21" s="135"/>
      <c r="T21" s="910" t="s">
        <v>121</v>
      </c>
      <c r="U21" s="809"/>
      <c r="V21" s="5"/>
      <c r="W21" s="5"/>
      <c r="X21" s="5"/>
      <c r="Y21" s="5"/>
      <c r="Z21" s="5"/>
      <c r="AA21" s="5"/>
      <c r="AB21" s="5"/>
      <c r="AC21" s="5"/>
      <c r="AD21" s="5"/>
      <c r="AE21" s="142"/>
    </row>
    <row r="22" spans="1:31" ht="14.25" customHeight="1" x14ac:dyDescent="0.2">
      <c r="A22" s="166" t="s">
        <v>150</v>
      </c>
      <c r="B22" s="144"/>
      <c r="C22" s="144"/>
      <c r="D22" s="144"/>
      <c r="E22" s="144"/>
      <c r="F22" s="144"/>
      <c r="G22" s="145">
        <v>5.0000000000000001E-3</v>
      </c>
      <c r="H22" s="154">
        <f>G22*14.5</f>
        <v>7.2499999999999995E-2</v>
      </c>
      <c r="I22" s="147"/>
      <c r="J22" s="145">
        <v>2.5000000000000001E-3</v>
      </c>
      <c r="K22" s="154">
        <f>J22*14.5</f>
        <v>3.6249999999999998E-2</v>
      </c>
      <c r="L22" s="135">
        <v>8</v>
      </c>
      <c r="M22" s="135" t="s">
        <v>151</v>
      </c>
      <c r="N22" s="135"/>
      <c r="O22" s="135"/>
      <c r="P22" s="135"/>
      <c r="Q22" s="135"/>
      <c r="R22" s="135" t="s">
        <v>129</v>
      </c>
      <c r="S22" s="135"/>
      <c r="T22" s="910" t="s">
        <v>146</v>
      </c>
      <c r="U22" s="809"/>
      <c r="V22" s="5"/>
      <c r="W22" s="5"/>
      <c r="X22" s="5"/>
      <c r="Y22" s="5"/>
      <c r="Z22" s="5"/>
      <c r="AA22" s="5"/>
      <c r="AB22" s="5"/>
      <c r="AC22" s="5"/>
      <c r="AD22" s="5"/>
      <c r="AE22" s="142"/>
    </row>
    <row r="23" spans="1:31" ht="14.25" customHeight="1" x14ac:dyDescent="0.2">
      <c r="A23" s="166" t="s">
        <v>152</v>
      </c>
      <c r="B23" s="144"/>
      <c r="C23" s="144"/>
      <c r="D23" s="144"/>
      <c r="E23" s="144"/>
      <c r="F23" s="144"/>
      <c r="G23" s="173">
        <v>0.01</v>
      </c>
      <c r="H23" s="154">
        <f>G23*14.5</f>
        <v>0.14499999999999999</v>
      </c>
      <c r="I23" s="147"/>
      <c r="J23" s="145">
        <v>5.0000000000000001E-3</v>
      </c>
      <c r="K23" s="154">
        <f>J23*14.5</f>
        <v>7.2499999999999995E-2</v>
      </c>
      <c r="L23" s="135">
        <v>9</v>
      </c>
      <c r="M23" s="135" t="s">
        <v>153</v>
      </c>
      <c r="N23" s="135"/>
      <c r="O23" s="135"/>
      <c r="P23" s="135"/>
      <c r="Q23" s="135"/>
      <c r="R23" s="135" t="s">
        <v>154</v>
      </c>
      <c r="S23" s="135"/>
      <c r="T23" s="910" t="s">
        <v>121</v>
      </c>
      <c r="U23" s="809"/>
      <c r="V23" s="5"/>
      <c r="W23" s="5"/>
      <c r="X23" s="5"/>
      <c r="Y23" s="5"/>
      <c r="Z23" s="5"/>
      <c r="AA23" s="5"/>
      <c r="AB23" s="5"/>
      <c r="AC23" s="5"/>
      <c r="AD23" s="5"/>
      <c r="AE23" s="142"/>
    </row>
    <row r="24" spans="1:31" ht="14.25" customHeight="1" x14ac:dyDescent="0.2">
      <c r="A24" s="174"/>
      <c r="B24" s="175"/>
      <c r="C24" s="176"/>
      <c r="D24" s="176"/>
      <c r="E24" s="177"/>
      <c r="F24" s="177"/>
      <c r="G24" s="165"/>
      <c r="H24" s="165"/>
      <c r="I24" s="165"/>
      <c r="J24" s="170"/>
      <c r="K24" s="178"/>
      <c r="L24" s="135"/>
      <c r="M24" s="135"/>
      <c r="N24" s="135"/>
      <c r="O24" s="135"/>
      <c r="P24" s="135"/>
      <c r="Q24" s="135"/>
      <c r="R24" s="5"/>
      <c r="S24" s="135"/>
      <c r="T24" s="5"/>
      <c r="U24" s="135"/>
      <c r="V24" s="5"/>
      <c r="W24" s="5"/>
      <c r="X24" s="5"/>
      <c r="Y24" s="5"/>
      <c r="Z24" s="5"/>
      <c r="AA24" s="5"/>
      <c r="AB24" s="5"/>
      <c r="AC24" s="5"/>
      <c r="AD24" s="5"/>
      <c r="AE24" s="142"/>
    </row>
    <row r="25" spans="1:31" ht="18" customHeight="1" x14ac:dyDescent="0.25">
      <c r="A25" s="166" t="s">
        <v>155</v>
      </c>
      <c r="B25" s="179"/>
      <c r="C25" s="179"/>
      <c r="D25" s="179"/>
      <c r="E25" s="179"/>
      <c r="F25" s="179"/>
      <c r="G25" s="173">
        <f>G13*1.25</f>
        <v>0.1875</v>
      </c>
      <c r="H25" s="152">
        <f>G25*14.5</f>
        <v>2.71875</v>
      </c>
      <c r="I25" s="147"/>
      <c r="J25" s="180">
        <f>+J16*1.25</f>
        <v>0.01</v>
      </c>
      <c r="K25" s="154">
        <f>J25*14.5</f>
        <v>0.14499999999999999</v>
      </c>
      <c r="L25" s="135"/>
      <c r="M25" s="141" t="s">
        <v>106</v>
      </c>
      <c r="N25" s="135"/>
      <c r="O25" s="135"/>
      <c r="P25" s="135"/>
      <c r="Q25" s="135"/>
      <c r="R25" s="135"/>
      <c r="S25" s="135"/>
      <c r="T25" s="5"/>
      <c r="U25" s="135"/>
      <c r="V25" s="5"/>
      <c r="W25" s="5"/>
      <c r="X25" s="5"/>
      <c r="Y25" s="5"/>
      <c r="Z25" s="5"/>
      <c r="AA25" s="5"/>
      <c r="AB25" s="5"/>
      <c r="AC25" s="5"/>
      <c r="AD25" s="5"/>
      <c r="AE25" s="142"/>
    </row>
    <row r="26" spans="1:31" ht="14.25" customHeight="1" x14ac:dyDescent="0.2">
      <c r="A26" s="181"/>
      <c r="B26" s="182"/>
      <c r="C26" s="182"/>
      <c r="D26" s="182"/>
      <c r="E26" s="182"/>
      <c r="F26" s="182"/>
      <c r="G26" s="162"/>
      <c r="H26" s="162"/>
      <c r="I26" s="162"/>
      <c r="J26" s="170"/>
      <c r="K26" s="178"/>
      <c r="L26" s="135"/>
      <c r="M26" s="135"/>
      <c r="N26" s="135"/>
      <c r="O26" s="135"/>
      <c r="P26" s="135"/>
      <c r="Q26" s="135"/>
      <c r="R26" s="135"/>
      <c r="S26" s="135"/>
      <c r="T26" s="5"/>
      <c r="U26" s="135"/>
      <c r="V26" s="5"/>
      <c r="W26" s="5"/>
      <c r="X26" s="5"/>
      <c r="Y26" s="5"/>
      <c r="Z26" s="5"/>
      <c r="AA26" s="5"/>
      <c r="AB26" s="5"/>
      <c r="AC26" s="5"/>
      <c r="AD26" s="5"/>
      <c r="AE26" s="142"/>
    </row>
    <row r="27" spans="1:31" ht="14.25" customHeight="1" x14ac:dyDescent="0.2">
      <c r="A27" s="183"/>
      <c r="B27" s="184"/>
      <c r="C27" s="184"/>
      <c r="D27" s="184"/>
      <c r="E27" s="184"/>
      <c r="F27" s="184"/>
      <c r="G27" s="165"/>
      <c r="H27" s="165"/>
      <c r="I27" s="165"/>
      <c r="J27" s="170"/>
      <c r="K27" s="178"/>
      <c r="L27" s="135">
        <v>1</v>
      </c>
      <c r="M27" s="135" t="s">
        <v>156</v>
      </c>
      <c r="N27" s="135"/>
      <c r="O27" s="135"/>
      <c r="P27" s="135"/>
      <c r="Q27" s="135"/>
      <c r="R27" s="135" t="s">
        <v>157</v>
      </c>
      <c r="S27" s="135"/>
      <c r="T27" s="910" t="s">
        <v>158</v>
      </c>
      <c r="U27" s="809"/>
      <c r="V27" s="5"/>
      <c r="W27" s="5"/>
      <c r="X27" s="5"/>
      <c r="Y27" s="5"/>
      <c r="Z27" s="5"/>
      <c r="AA27" s="5"/>
      <c r="AB27" s="5"/>
      <c r="AC27" s="5"/>
      <c r="AD27" s="5"/>
      <c r="AE27" s="142"/>
    </row>
    <row r="28" spans="1:31" ht="14.25" customHeight="1" x14ac:dyDescent="0.2">
      <c r="A28" s="185" t="s">
        <v>159</v>
      </c>
      <c r="B28" s="138"/>
      <c r="C28" s="138"/>
      <c r="D28" s="138"/>
      <c r="E28" s="138"/>
      <c r="F28" s="138"/>
      <c r="G28" s="163" t="s">
        <v>141</v>
      </c>
      <c r="H28" s="167"/>
      <c r="I28" s="147"/>
      <c r="J28" s="160">
        <v>66.61</v>
      </c>
      <c r="K28" s="186">
        <v>149</v>
      </c>
      <c r="L28" s="135">
        <v>2</v>
      </c>
      <c r="M28" s="135" t="s">
        <v>160</v>
      </c>
      <c r="N28" s="135"/>
      <c r="O28" s="135"/>
      <c r="P28" s="135"/>
      <c r="Q28" s="135"/>
      <c r="R28" s="135" t="s">
        <v>161</v>
      </c>
      <c r="S28" s="135"/>
      <c r="T28" s="910" t="s">
        <v>121</v>
      </c>
      <c r="U28" s="809"/>
      <c r="V28" s="5"/>
      <c r="W28" s="5"/>
      <c r="X28" s="5"/>
      <c r="Y28" s="5"/>
      <c r="Z28" s="5"/>
      <c r="AA28" s="5"/>
      <c r="AB28" s="5"/>
      <c r="AC28" s="5"/>
      <c r="AD28" s="5"/>
      <c r="AE28" s="142"/>
    </row>
    <row r="29" spans="1:31" ht="14.25" customHeight="1" x14ac:dyDescent="0.2">
      <c r="A29" s="187"/>
      <c r="B29" s="176"/>
      <c r="C29" s="176"/>
      <c r="D29" s="176"/>
      <c r="E29" s="176"/>
      <c r="F29" s="176"/>
      <c r="G29" s="162"/>
      <c r="H29" s="162"/>
      <c r="I29" s="162"/>
      <c r="J29" s="170"/>
      <c r="K29" s="178"/>
      <c r="L29" s="135">
        <v>2</v>
      </c>
      <c r="M29" s="135" t="s">
        <v>162</v>
      </c>
      <c r="N29" s="135"/>
      <c r="O29" s="135"/>
      <c r="P29" s="135"/>
      <c r="Q29" s="135"/>
      <c r="R29" s="135" t="s">
        <v>163</v>
      </c>
      <c r="S29" s="135"/>
      <c r="T29" s="910" t="s">
        <v>164</v>
      </c>
      <c r="U29" s="809"/>
      <c r="V29" s="5"/>
      <c r="W29" s="5"/>
      <c r="X29" s="5"/>
      <c r="Y29" s="5"/>
      <c r="Z29" s="5"/>
      <c r="AA29" s="5"/>
      <c r="AB29" s="5"/>
      <c r="AC29" s="5"/>
      <c r="AD29" s="5"/>
      <c r="AE29" s="142"/>
    </row>
    <row r="30" spans="1:31" ht="14.25" customHeight="1" x14ac:dyDescent="0.2">
      <c r="A30" s="183"/>
      <c r="B30" s="177"/>
      <c r="C30" s="177"/>
      <c r="D30" s="177"/>
      <c r="E30" s="177"/>
      <c r="F30" s="177"/>
      <c r="G30" s="165"/>
      <c r="H30" s="165"/>
      <c r="I30" s="165"/>
      <c r="J30" s="170"/>
      <c r="K30" s="178"/>
      <c r="L30" s="135">
        <v>3</v>
      </c>
      <c r="M30" s="135" t="s">
        <v>133</v>
      </c>
      <c r="N30" s="135"/>
      <c r="O30" s="135"/>
      <c r="P30" s="135"/>
      <c r="Q30" s="135"/>
      <c r="R30" s="135" t="s">
        <v>165</v>
      </c>
      <c r="S30" s="135"/>
      <c r="T30" s="910" t="s">
        <v>166</v>
      </c>
      <c r="U30" s="809"/>
      <c r="V30" s="5"/>
      <c r="W30" s="5"/>
      <c r="X30" s="5"/>
      <c r="Y30" s="5"/>
      <c r="Z30" s="5"/>
      <c r="AA30" s="5"/>
      <c r="AB30" s="5"/>
      <c r="AC30" s="5"/>
      <c r="AD30" s="5"/>
      <c r="AE30" s="142"/>
    </row>
    <row r="31" spans="1:31" ht="14.25" customHeight="1" x14ac:dyDescent="0.2">
      <c r="A31" s="166" t="s">
        <v>167</v>
      </c>
      <c r="B31" s="138"/>
      <c r="C31" s="138"/>
      <c r="D31" s="138"/>
      <c r="E31" s="138"/>
      <c r="F31" s="138"/>
      <c r="G31" s="163" t="s">
        <v>141</v>
      </c>
      <c r="H31" s="167"/>
      <c r="I31" s="147"/>
      <c r="J31" s="188">
        <v>24.41</v>
      </c>
      <c r="K31" s="152">
        <f>J31*0.2048</f>
        <v>4.9991680000000001</v>
      </c>
      <c r="L31" s="135">
        <v>4</v>
      </c>
      <c r="M31" s="135" t="s">
        <v>128</v>
      </c>
      <c r="N31" s="135"/>
      <c r="O31" s="135"/>
      <c r="P31" s="135"/>
      <c r="Q31" s="135"/>
      <c r="R31" s="135" t="s">
        <v>157</v>
      </c>
      <c r="S31" s="135"/>
      <c r="T31" s="910" t="s">
        <v>158</v>
      </c>
      <c r="U31" s="809"/>
      <c r="V31" s="5"/>
      <c r="W31" s="5"/>
      <c r="X31" s="5"/>
      <c r="Y31" s="5"/>
      <c r="Z31" s="5"/>
      <c r="AA31" s="5"/>
      <c r="AB31" s="5"/>
      <c r="AC31" s="5"/>
      <c r="AD31" s="5"/>
      <c r="AE31" s="142"/>
    </row>
    <row r="32" spans="1:31" ht="14.25" customHeight="1" x14ac:dyDescent="0.2">
      <c r="A32" s="187"/>
      <c r="B32" s="176"/>
      <c r="C32" s="176"/>
      <c r="D32" s="176"/>
      <c r="E32" s="176"/>
      <c r="F32" s="176"/>
      <c r="G32" s="162"/>
      <c r="H32" s="162"/>
      <c r="I32" s="162"/>
      <c r="J32" s="170"/>
      <c r="K32" s="178"/>
      <c r="L32" s="135">
        <v>5</v>
      </c>
      <c r="M32" s="135" t="s">
        <v>168</v>
      </c>
      <c r="N32" s="135"/>
      <c r="O32" s="135"/>
      <c r="P32" s="135"/>
      <c r="Q32" s="135"/>
      <c r="R32" s="135" t="s">
        <v>169</v>
      </c>
      <c r="S32" s="135"/>
      <c r="T32" s="910" t="s">
        <v>121</v>
      </c>
      <c r="U32" s="809"/>
      <c r="V32" s="5"/>
      <c r="W32" s="5"/>
      <c r="X32" s="5"/>
      <c r="Y32" s="5"/>
      <c r="Z32" s="5"/>
      <c r="AA32" s="5"/>
      <c r="AB32" s="5"/>
      <c r="AC32" s="5"/>
      <c r="AD32" s="5"/>
      <c r="AE32" s="142"/>
    </row>
    <row r="33" spans="1:31" ht="23.25" customHeight="1" x14ac:dyDescent="0.2">
      <c r="A33" s="908" t="s">
        <v>170</v>
      </c>
      <c r="B33" s="812"/>
      <c r="C33" s="812"/>
      <c r="D33" s="812"/>
      <c r="E33" s="812"/>
      <c r="F33" s="813"/>
      <c r="G33" s="189">
        <v>808</v>
      </c>
      <c r="H33" s="190">
        <f>G33*0.062428</f>
        <v>50.441823999999997</v>
      </c>
      <c r="I33" s="45"/>
      <c r="J33" s="191" t="s">
        <v>141</v>
      </c>
      <c r="K33" s="192"/>
      <c r="L33" s="135">
        <v>6</v>
      </c>
      <c r="M33" s="135" t="s">
        <v>171</v>
      </c>
      <c r="N33" s="135"/>
      <c r="O33" s="135"/>
      <c r="P33" s="135"/>
      <c r="Q33" s="135"/>
      <c r="R33" s="135" t="s">
        <v>172</v>
      </c>
      <c r="S33" s="135"/>
      <c r="T33" s="910" t="s">
        <v>146</v>
      </c>
      <c r="U33" s="809"/>
      <c r="V33" s="5"/>
      <c r="W33" s="5"/>
      <c r="X33" s="5"/>
      <c r="Y33" s="5"/>
      <c r="Z33" s="5"/>
      <c r="AA33" s="5"/>
      <c r="AB33" s="5"/>
      <c r="AC33" s="5"/>
      <c r="AD33" s="5"/>
      <c r="AE33" s="142"/>
    </row>
    <row r="34" spans="1:31" ht="15.75" customHeight="1" x14ac:dyDescent="0.2">
      <c r="A34" s="193"/>
      <c r="B34" s="177"/>
      <c r="C34" s="177"/>
      <c r="D34" s="177"/>
      <c r="E34" s="177"/>
      <c r="F34" s="177"/>
      <c r="G34" s="164"/>
      <c r="H34" s="164"/>
      <c r="I34" s="164"/>
      <c r="J34" s="64"/>
      <c r="K34" s="178"/>
      <c r="L34" s="135">
        <v>6</v>
      </c>
      <c r="M34" s="135" t="s">
        <v>173</v>
      </c>
      <c r="N34" s="135"/>
      <c r="O34" s="135"/>
      <c r="P34" s="135"/>
      <c r="Q34" s="135"/>
      <c r="R34" s="135" t="s">
        <v>174</v>
      </c>
      <c r="S34" s="135"/>
      <c r="T34" s="910" t="s">
        <v>121</v>
      </c>
      <c r="U34" s="809"/>
      <c r="V34" s="5"/>
      <c r="W34" s="5"/>
      <c r="X34" s="5"/>
      <c r="Y34" s="5"/>
      <c r="Z34" s="5"/>
      <c r="AA34" s="5"/>
      <c r="AB34" s="5"/>
      <c r="AC34" s="5"/>
      <c r="AD34" s="5"/>
      <c r="AE34" s="142"/>
    </row>
    <row r="35" spans="1:31" ht="15.75" customHeight="1" x14ac:dyDescent="0.2">
      <c r="A35" s="908" t="s">
        <v>175</v>
      </c>
      <c r="B35" s="880"/>
      <c r="C35" s="880"/>
      <c r="D35" s="880"/>
      <c r="E35" s="880"/>
      <c r="F35" s="916"/>
      <c r="G35" s="903">
        <v>0.1</v>
      </c>
      <c r="H35" s="195"/>
      <c r="I35" s="905"/>
      <c r="J35" s="907" t="s">
        <v>141</v>
      </c>
      <c r="K35" s="197"/>
      <c r="L35" s="135">
        <v>7</v>
      </c>
      <c r="M35" s="135" t="s">
        <v>176</v>
      </c>
      <c r="N35" s="135"/>
      <c r="O35" s="135"/>
      <c r="P35" s="135"/>
      <c r="Q35" s="135"/>
      <c r="R35" s="135" t="s">
        <v>177</v>
      </c>
      <c r="S35" s="135"/>
      <c r="T35" s="910" t="s">
        <v>117</v>
      </c>
      <c r="U35" s="809"/>
      <c r="V35" s="5"/>
      <c r="W35" s="5"/>
      <c r="X35" s="5"/>
      <c r="Y35" s="5"/>
      <c r="Z35" s="5"/>
      <c r="AA35" s="5"/>
      <c r="AB35" s="5"/>
      <c r="AC35" s="5"/>
      <c r="AD35" s="5"/>
      <c r="AE35" s="142"/>
    </row>
    <row r="36" spans="1:31" ht="14.25" customHeight="1" x14ac:dyDescent="0.2">
      <c r="A36" s="904"/>
      <c r="B36" s="883"/>
      <c r="C36" s="883"/>
      <c r="D36" s="883"/>
      <c r="E36" s="883"/>
      <c r="F36" s="917"/>
      <c r="G36" s="904"/>
      <c r="H36" s="199"/>
      <c r="I36" s="906"/>
      <c r="J36" s="904"/>
      <c r="K36" s="200"/>
      <c r="L36" s="135">
        <v>8</v>
      </c>
      <c r="M36" s="135" t="s">
        <v>178</v>
      </c>
      <c r="N36" s="135"/>
      <c r="O36" s="135"/>
      <c r="P36" s="135"/>
      <c r="Q36" s="135"/>
      <c r="R36" s="135" t="s">
        <v>177</v>
      </c>
      <c r="S36" s="135"/>
      <c r="T36" s="910" t="s">
        <v>121</v>
      </c>
      <c r="U36" s="809"/>
      <c r="V36" s="5"/>
      <c r="W36" s="5"/>
      <c r="X36" s="5"/>
      <c r="Y36" s="5"/>
      <c r="Z36" s="5"/>
      <c r="AA36" s="5"/>
      <c r="AB36" s="5"/>
      <c r="AC36" s="5"/>
      <c r="AD36" s="5"/>
      <c r="AE36" s="117"/>
    </row>
    <row r="37" spans="1:31" ht="14.25" customHeight="1" x14ac:dyDescent="0.2">
      <c r="A37" s="201"/>
      <c r="B37" s="138"/>
      <c r="C37" s="138"/>
      <c r="D37" s="138"/>
      <c r="E37" s="138"/>
      <c r="F37" s="138"/>
      <c r="G37" s="138"/>
      <c r="H37" s="138"/>
      <c r="I37" s="138"/>
      <c r="J37" s="138"/>
      <c r="K37" s="202"/>
      <c r="L37" s="5"/>
      <c r="M37" s="5"/>
      <c r="N37" s="5"/>
      <c r="O37" s="5"/>
      <c r="P37" s="5"/>
      <c r="Q37" s="5"/>
      <c r="R37" s="5"/>
      <c r="S37" s="13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117"/>
    </row>
    <row r="38" spans="1:31" ht="14.25" customHeight="1" x14ac:dyDescent="0.2">
      <c r="A38" s="166" t="s">
        <v>179</v>
      </c>
      <c r="B38" s="138"/>
      <c r="C38" s="138"/>
      <c r="D38" s="138"/>
      <c r="E38" s="138"/>
      <c r="F38" s="138"/>
      <c r="G38" s="163" t="s">
        <v>141</v>
      </c>
      <c r="H38" s="167"/>
      <c r="I38" s="147"/>
      <c r="J38" s="145">
        <f>K38*4.88</f>
        <v>244</v>
      </c>
      <c r="K38" s="152">
        <v>50</v>
      </c>
      <c r="L38" s="5"/>
      <c r="M38" s="135" t="s">
        <v>180</v>
      </c>
      <c r="N38" s="5" t="s">
        <v>181</v>
      </c>
      <c r="O38" s="5"/>
      <c r="P38" s="5"/>
      <c r="Q38" s="13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117"/>
    </row>
    <row r="39" spans="1:31" ht="14.25" customHeight="1" x14ac:dyDescent="0.2">
      <c r="A39" s="203"/>
      <c r="B39" s="117"/>
      <c r="C39" s="117"/>
      <c r="D39" s="117"/>
      <c r="E39" s="117"/>
      <c r="F39" s="117"/>
      <c r="G39" s="117"/>
      <c r="H39" s="117"/>
      <c r="I39" s="117"/>
      <c r="J39" s="117"/>
      <c r="K39" s="204"/>
      <c r="L39" s="5"/>
      <c r="M39" s="135" t="s">
        <v>182</v>
      </c>
      <c r="N39" s="5" t="s">
        <v>183</v>
      </c>
      <c r="O39" s="5"/>
      <c r="P39" s="5"/>
      <c r="Q39" s="135"/>
      <c r="R39" s="5"/>
      <c r="S39" s="5"/>
      <c r="T39" s="5"/>
      <c r="U39" s="5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</row>
    <row r="40" spans="1:31" ht="14.25" customHeight="1" x14ac:dyDescent="0.2">
      <c r="A40" s="166" t="s">
        <v>184</v>
      </c>
      <c r="B40" s="138"/>
      <c r="C40" s="205">
        <v>1.7629999999999999</v>
      </c>
      <c r="D40" s="206">
        <v>0.59599999999999997</v>
      </c>
      <c r="E40" s="5"/>
      <c r="F40" s="5"/>
      <c r="G40" s="207"/>
      <c r="H40" s="208"/>
      <c r="I40" s="147"/>
      <c r="J40" s="207"/>
      <c r="K40" s="208"/>
      <c r="L40" s="5"/>
      <c r="M40" s="135" t="s">
        <v>185</v>
      </c>
      <c r="N40" s="5" t="s">
        <v>186</v>
      </c>
      <c r="O40" s="5"/>
      <c r="P40" s="5"/>
      <c r="Q40" s="135"/>
      <c r="R40" s="5"/>
      <c r="S40" s="5"/>
      <c r="T40" s="5"/>
      <c r="U40" s="5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</row>
    <row r="41" spans="1:31" ht="14.25" customHeight="1" x14ac:dyDescent="0.2">
      <c r="A41" s="114"/>
      <c r="B41" s="5"/>
      <c r="C41" s="5"/>
      <c r="D41" s="5"/>
      <c r="E41" s="5"/>
      <c r="F41" s="5"/>
      <c r="G41" s="5"/>
      <c r="H41" s="5"/>
      <c r="I41" s="5"/>
      <c r="J41" s="5"/>
      <c r="K41" s="204"/>
      <c r="L41" s="5"/>
      <c r="M41" s="135" t="s">
        <v>187</v>
      </c>
      <c r="N41" s="5" t="s">
        <v>188</v>
      </c>
      <c r="O41" s="5"/>
      <c r="P41" s="5"/>
      <c r="Q41" s="135"/>
      <c r="R41" s="5"/>
      <c r="S41" s="5"/>
      <c r="T41" s="5"/>
      <c r="U41" s="5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</row>
    <row r="42" spans="1:31" ht="14.25" customHeight="1" x14ac:dyDescent="0.2">
      <c r="A42" s="166" t="s">
        <v>189</v>
      </c>
      <c r="B42" s="138"/>
      <c r="C42" s="138"/>
      <c r="D42" s="138"/>
      <c r="E42" s="138"/>
      <c r="F42" s="138"/>
      <c r="G42" s="918" t="s">
        <v>190</v>
      </c>
      <c r="H42" s="813"/>
      <c r="I42" s="147"/>
      <c r="J42" s="920" t="s">
        <v>190</v>
      </c>
      <c r="K42" s="813"/>
      <c r="L42" s="5"/>
      <c r="M42" s="135" t="s">
        <v>191</v>
      </c>
      <c r="N42" s="5" t="s">
        <v>192</v>
      </c>
      <c r="O42" s="5"/>
      <c r="P42" s="5"/>
      <c r="Q42" s="13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117"/>
    </row>
    <row r="43" spans="1:31" ht="14.25" customHeight="1" x14ac:dyDescent="0.2">
      <c r="A43" s="114"/>
      <c r="B43" s="5"/>
      <c r="C43" s="5"/>
      <c r="D43" s="5"/>
      <c r="E43" s="5"/>
      <c r="F43" s="5"/>
      <c r="G43" s="5"/>
      <c r="H43" s="5"/>
      <c r="I43" s="5"/>
      <c r="J43" s="5"/>
      <c r="K43" s="204"/>
      <c r="L43" s="5"/>
      <c r="M43" s="135" t="s">
        <v>193</v>
      </c>
      <c r="N43" s="5" t="s">
        <v>194</v>
      </c>
      <c r="O43" s="5"/>
      <c r="P43" s="5"/>
      <c r="Q43" s="13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117"/>
    </row>
    <row r="44" spans="1:31" ht="14.25" customHeight="1" x14ac:dyDescent="0.2">
      <c r="A44" s="166" t="s">
        <v>195</v>
      </c>
      <c r="B44" s="138"/>
      <c r="C44" s="138"/>
      <c r="D44" s="138"/>
      <c r="E44" s="138"/>
      <c r="F44" s="138"/>
      <c r="G44" s="918" t="s">
        <v>196</v>
      </c>
      <c r="H44" s="813"/>
      <c r="I44" s="147"/>
      <c r="J44" s="920" t="s">
        <v>196</v>
      </c>
      <c r="K44" s="813"/>
      <c r="L44" s="5"/>
      <c r="M44" s="135" t="s">
        <v>197</v>
      </c>
      <c r="N44" s="5" t="s">
        <v>198</v>
      </c>
      <c r="O44" s="5"/>
      <c r="P44" s="5"/>
      <c r="Q44" s="13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ht="14.25" customHeight="1" x14ac:dyDescent="0.2">
      <c r="A45" s="114"/>
      <c r="B45" s="123"/>
      <c r="C45" s="5"/>
      <c r="D45" s="5"/>
      <c r="E45" s="5"/>
      <c r="F45" s="5"/>
      <c r="G45" s="5"/>
      <c r="H45" s="5"/>
      <c r="I45" s="123"/>
      <c r="J45" s="5"/>
      <c r="K45" s="103"/>
      <c r="L45" s="5"/>
      <c r="M45" s="135" t="s">
        <v>199</v>
      </c>
      <c r="N45" s="5" t="s">
        <v>200</v>
      </c>
      <c r="O45" s="5"/>
      <c r="P45" s="5"/>
      <c r="Q45" s="13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4.25" customHeight="1" x14ac:dyDescent="0.2">
      <c r="A46" s="166" t="s">
        <v>201</v>
      </c>
      <c r="B46" s="144"/>
      <c r="C46" s="144"/>
      <c r="D46" s="144"/>
      <c r="E46" s="144"/>
      <c r="F46" s="144"/>
      <c r="G46" s="918" t="s">
        <v>202</v>
      </c>
      <c r="H46" s="813"/>
      <c r="I46" s="147"/>
      <c r="J46" s="918" t="s">
        <v>202</v>
      </c>
      <c r="K46" s="813"/>
      <c r="L46" s="5"/>
      <c r="M46" s="135" t="s">
        <v>203</v>
      </c>
      <c r="N46" s="5" t="s">
        <v>204</v>
      </c>
      <c r="O46" s="5"/>
      <c r="P46" s="5"/>
      <c r="Q46" s="5"/>
      <c r="R46" s="5"/>
      <c r="S46" s="5"/>
      <c r="T46" s="5"/>
      <c r="U46" s="5"/>
      <c r="V46" s="5"/>
      <c r="W46" s="123"/>
      <c r="X46" s="5"/>
      <c r="Y46" s="5"/>
      <c r="Z46" s="5"/>
      <c r="AA46" s="5"/>
      <c r="AB46" s="5"/>
      <c r="AC46" s="123"/>
      <c r="AD46" s="5"/>
      <c r="AE46" s="5"/>
    </row>
    <row r="47" spans="1:31" ht="14.25" customHeight="1" x14ac:dyDescent="0.2">
      <c r="A47" s="166" t="s">
        <v>205</v>
      </c>
      <c r="B47" s="147"/>
      <c r="C47" s="147"/>
      <c r="D47" s="147"/>
      <c r="E47" s="147"/>
      <c r="F47" s="147"/>
      <c r="G47" s="918" t="s">
        <v>132</v>
      </c>
      <c r="H47" s="813"/>
      <c r="I47" s="147"/>
      <c r="J47" s="918" t="s">
        <v>206</v>
      </c>
      <c r="K47" s="813"/>
      <c r="L47" s="5"/>
      <c r="M47" s="135" t="s">
        <v>207</v>
      </c>
      <c r="N47" s="5" t="s">
        <v>208</v>
      </c>
      <c r="O47" s="5"/>
      <c r="P47" s="5"/>
      <c r="Q47" s="5"/>
      <c r="R47" s="5"/>
      <c r="S47" s="5"/>
      <c r="T47" s="5"/>
      <c r="U47" s="5"/>
      <c r="V47" s="5"/>
      <c r="W47" s="123"/>
      <c r="X47" s="5"/>
      <c r="Y47" s="5"/>
      <c r="Z47" s="5"/>
      <c r="AA47" s="5"/>
      <c r="AB47" s="5"/>
      <c r="AC47" s="5"/>
      <c r="AD47" s="5"/>
      <c r="AE47" s="5"/>
    </row>
    <row r="48" spans="1:31" ht="14.25" customHeight="1" x14ac:dyDescent="0.2">
      <c r="A48" s="170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5"/>
      <c r="M48" s="135" t="s">
        <v>209</v>
      </c>
      <c r="N48" s="5" t="s">
        <v>210</v>
      </c>
      <c r="O48" s="5"/>
      <c r="P48" s="5"/>
      <c r="Q48" s="5"/>
      <c r="R48" s="5"/>
      <c r="S48" s="5"/>
      <c r="T48" s="5"/>
      <c r="U48" s="5"/>
      <c r="V48" s="14"/>
      <c r="W48" s="14"/>
      <c r="X48" s="14"/>
      <c r="Y48" s="14"/>
      <c r="Z48" s="14"/>
      <c r="AA48" s="14"/>
      <c r="AB48" s="14"/>
      <c r="AC48" s="14"/>
      <c r="AD48" s="14"/>
      <c r="AE48" s="5"/>
    </row>
    <row r="49" spans="1:31" ht="14.25" customHeight="1" x14ac:dyDescent="0.2">
      <c r="A49" s="64" t="s">
        <v>211</v>
      </c>
      <c r="B49" s="209" t="s">
        <v>212</v>
      </c>
      <c r="C49" s="64"/>
      <c r="D49" s="64"/>
      <c r="E49" s="64"/>
      <c r="F49" s="64"/>
      <c r="G49" s="64"/>
      <c r="H49" s="64"/>
      <c r="I49" s="64"/>
      <c r="J49" s="64"/>
      <c r="K49" s="64"/>
      <c r="L49" s="5"/>
      <c r="M49" s="135" t="s">
        <v>213</v>
      </c>
      <c r="N49" s="64" t="s">
        <v>214</v>
      </c>
      <c r="O49" s="5"/>
      <c r="P49" s="5"/>
      <c r="Q49" s="5"/>
      <c r="R49" s="5"/>
      <c r="S49" s="5"/>
      <c r="T49" s="5"/>
      <c r="U49" s="5"/>
      <c r="V49" s="14"/>
      <c r="W49" s="5"/>
      <c r="X49" s="5"/>
      <c r="Y49" s="5"/>
      <c r="Z49" s="5"/>
      <c r="AA49" s="5"/>
      <c r="AB49" s="5"/>
      <c r="AC49" s="5"/>
      <c r="AD49" s="5"/>
      <c r="AE49" s="5"/>
    </row>
    <row r="50" spans="1:31" ht="14.25" customHeight="1" x14ac:dyDescent="0.2">
      <c r="A50" s="64" t="s">
        <v>215</v>
      </c>
      <c r="B50" s="209" t="s">
        <v>216</v>
      </c>
      <c r="C50" s="64"/>
      <c r="D50" s="64"/>
      <c r="E50" s="64"/>
      <c r="F50" s="64"/>
      <c r="G50" s="64"/>
      <c r="H50" s="64"/>
      <c r="I50" s="64"/>
      <c r="J50" s="64"/>
      <c r="K50" s="170"/>
      <c r="L50" s="5"/>
      <c r="M50" s="135" t="s">
        <v>217</v>
      </c>
      <c r="N50" s="64" t="s">
        <v>218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14"/>
    </row>
    <row r="51" spans="1:31" ht="15.75" customHeight="1" x14ac:dyDescent="0.25">
      <c r="A51" s="102"/>
      <c r="B51" s="209" t="s">
        <v>219</v>
      </c>
      <c r="C51" s="102"/>
      <c r="D51" s="102"/>
      <c r="E51" s="102"/>
      <c r="F51" s="102"/>
      <c r="G51" s="102"/>
      <c r="H51" s="102"/>
      <c r="I51" s="102"/>
      <c r="J51" s="68"/>
      <c r="K51" s="6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ht="15.75" customHeight="1" x14ac:dyDescent="0.25">
      <c r="A52" s="64" t="s">
        <v>220</v>
      </c>
      <c r="B52" s="209" t="s">
        <v>221</v>
      </c>
      <c r="C52" s="102"/>
      <c r="D52" s="102"/>
      <c r="E52" s="102"/>
      <c r="F52" s="102"/>
      <c r="G52" s="102"/>
      <c r="H52" s="102"/>
      <c r="I52" s="102"/>
      <c r="J52" s="124"/>
      <c r="K52" s="6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2">
      <c r="A53" s="64"/>
      <c r="B53" s="209" t="s">
        <v>222</v>
      </c>
      <c r="C53" s="64"/>
      <c r="D53" s="64"/>
      <c r="E53" s="64"/>
      <c r="F53" s="64"/>
      <c r="G53" s="64"/>
      <c r="H53" s="64"/>
      <c r="I53" s="64"/>
      <c r="J53" s="64"/>
      <c r="K53" s="6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14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68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102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2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2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12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12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12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</sheetData>
  <mergeCells count="70">
    <mergeCell ref="G46:H46"/>
    <mergeCell ref="J46:K46"/>
    <mergeCell ref="G47:H47"/>
    <mergeCell ref="J47:K47"/>
    <mergeCell ref="J17:K17"/>
    <mergeCell ref="G44:H44"/>
    <mergeCell ref="J44:K44"/>
    <mergeCell ref="G42:H42"/>
    <mergeCell ref="J42:K42"/>
    <mergeCell ref="A5:C5"/>
    <mergeCell ref="D5:F5"/>
    <mergeCell ref="G5:I5"/>
    <mergeCell ref="D1:K1"/>
    <mergeCell ref="D2:K2"/>
    <mergeCell ref="D3:K3"/>
    <mergeCell ref="A4:C4"/>
    <mergeCell ref="D4:F4"/>
    <mergeCell ref="G4:I4"/>
    <mergeCell ref="J4:K4"/>
    <mergeCell ref="T28:U28"/>
    <mergeCell ref="T29:U29"/>
    <mergeCell ref="T30:U30"/>
    <mergeCell ref="T31:U31"/>
    <mergeCell ref="T32:U32"/>
    <mergeCell ref="A35:F36"/>
    <mergeCell ref="O1:U1"/>
    <mergeCell ref="O2:U2"/>
    <mergeCell ref="O3:U3"/>
    <mergeCell ref="T15:U15"/>
    <mergeCell ref="T16:U16"/>
    <mergeCell ref="T22:U22"/>
    <mergeCell ref="T23:U23"/>
    <mergeCell ref="T27:U27"/>
    <mergeCell ref="T33:U33"/>
    <mergeCell ref="L4:N4"/>
    <mergeCell ref="O4:Q4"/>
    <mergeCell ref="R4:S4"/>
    <mergeCell ref="T34:U34"/>
    <mergeCell ref="T35:U35"/>
    <mergeCell ref="T36:U36"/>
    <mergeCell ref="Y1:AE1"/>
    <mergeCell ref="Y2:AE2"/>
    <mergeCell ref="V5:X5"/>
    <mergeCell ref="Y5:AA5"/>
    <mergeCell ref="V4:X4"/>
    <mergeCell ref="Y4:AA4"/>
    <mergeCell ref="AB5:AC5"/>
    <mergeCell ref="AB4:AC4"/>
    <mergeCell ref="Y3:AE3"/>
    <mergeCell ref="A33:F33"/>
    <mergeCell ref="AD4:AE4"/>
    <mergeCell ref="T10:U11"/>
    <mergeCell ref="T12:U12"/>
    <mergeCell ref="M13:Q14"/>
    <mergeCell ref="L5:N5"/>
    <mergeCell ref="O5:Q5"/>
    <mergeCell ref="R5:S5"/>
    <mergeCell ref="T13:U13"/>
    <mergeCell ref="T14:U14"/>
    <mergeCell ref="T4:U4"/>
    <mergeCell ref="T17:U17"/>
    <mergeCell ref="T18:U18"/>
    <mergeCell ref="T19:U19"/>
    <mergeCell ref="T20:U20"/>
    <mergeCell ref="T21:U21"/>
    <mergeCell ref="J8:K8"/>
    <mergeCell ref="G8:H8"/>
    <mergeCell ref="G35:G36"/>
    <mergeCell ref="I35:I36"/>
    <mergeCell ref="J35:J36"/>
  </mergeCells>
  <pageMargins left="0.7" right="0.7" top="0.75" bottom="0.75" header="0.3" footer="0.3"/>
  <pageSetup paperSize="9" scale="90" fitToHeight="0" orientation="portrait"/>
  <colBreaks count="2" manualBreakCount="2">
    <brk id="10" max="1048575" man="1"/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P52"/>
  <sheetViews>
    <sheetView topLeftCell="A7" workbookViewId="0">
      <selection activeCell="A4" sqref="A4:C5"/>
    </sheetView>
    <sheetView tabSelected="1" workbookViewId="1">
      <selection sqref="A1:AK5"/>
    </sheetView>
  </sheetViews>
  <sheetFormatPr defaultColWidth="11.42578125" defaultRowHeight="12.75" x14ac:dyDescent="0.2"/>
  <cols>
    <col min="1" max="1" width="6.140625" customWidth="1"/>
    <col min="2" max="2" width="8.85546875" customWidth="1"/>
    <col min="3" max="3" width="11.85546875" customWidth="1"/>
    <col min="4" max="4" width="12" customWidth="1"/>
    <col min="5" max="5" width="10.42578125" customWidth="1"/>
    <col min="6" max="6" width="8.140625" customWidth="1"/>
    <col min="7" max="7" width="10.85546875" customWidth="1"/>
    <col min="8" max="8" width="10" customWidth="1"/>
    <col min="9" max="9" width="8" customWidth="1"/>
    <col min="10" max="10" width="7" customWidth="1"/>
    <col min="18" max="18" width="8.140625" customWidth="1"/>
  </cols>
  <sheetData>
    <row r="1" spans="1:16" ht="17.25" customHeight="1" thickTop="1" thickBot="1" x14ac:dyDescent="0.3">
      <c r="A1" s="822"/>
      <c r="B1" s="823"/>
      <c r="C1" s="824"/>
      <c r="D1" s="928" t="str">
        <f>'Front Page'!A13</f>
        <v>Mechanical  Calculations</v>
      </c>
      <c r="E1" s="842"/>
      <c r="F1" s="842"/>
      <c r="G1" s="842"/>
      <c r="H1" s="842"/>
      <c r="I1" s="842"/>
      <c r="J1" s="859"/>
      <c r="K1" s="5"/>
      <c r="L1" s="5"/>
      <c r="M1" s="5"/>
      <c r="N1" s="5"/>
      <c r="O1" s="5"/>
      <c r="P1" s="5"/>
    </row>
    <row r="2" spans="1:16" ht="16.5" customHeight="1" thickBot="1" x14ac:dyDescent="0.3">
      <c r="A2" s="825"/>
      <c r="B2" s="809"/>
      <c r="C2" s="826"/>
      <c r="D2" s="929"/>
      <c r="E2" s="831"/>
      <c r="F2" s="831"/>
      <c r="G2" s="831"/>
      <c r="H2" s="831"/>
      <c r="I2" s="831"/>
      <c r="J2" s="854"/>
      <c r="K2" s="5"/>
      <c r="L2" s="5"/>
      <c r="M2" s="5"/>
      <c r="N2" s="5"/>
      <c r="O2" s="5"/>
      <c r="P2" s="5"/>
    </row>
    <row r="3" spans="1:16" ht="16.5" customHeight="1" thickBot="1" x14ac:dyDescent="0.3">
      <c r="A3" s="827"/>
      <c r="B3" s="828"/>
      <c r="C3" s="829"/>
      <c r="D3" s="929" t="s">
        <v>223</v>
      </c>
      <c r="E3" s="831"/>
      <c r="F3" s="831"/>
      <c r="G3" s="831"/>
      <c r="H3" s="831"/>
      <c r="I3" s="831"/>
      <c r="J3" s="854"/>
      <c r="K3" s="5"/>
      <c r="L3" s="5"/>
      <c r="M3" s="5"/>
      <c r="N3" s="5"/>
      <c r="O3" s="5"/>
      <c r="P3" s="5"/>
    </row>
    <row r="4" spans="1:16" ht="15.75" customHeight="1" thickBot="1" x14ac:dyDescent="0.3">
      <c r="A4" s="873"/>
      <c r="B4" s="848"/>
      <c r="C4" s="865"/>
      <c r="D4" s="915" t="str">
        <f>'Front Page'!D4</f>
        <v>Doc Nº</v>
      </c>
      <c r="E4" s="831"/>
      <c r="F4" s="832"/>
      <c r="G4" s="846"/>
      <c r="H4" s="832"/>
      <c r="I4" s="853"/>
      <c r="J4" s="854"/>
      <c r="K4" s="5"/>
      <c r="L4" s="5"/>
      <c r="M4" s="5"/>
      <c r="N4" s="5"/>
      <c r="O4" s="5"/>
      <c r="P4" s="5"/>
    </row>
    <row r="5" spans="1:16" ht="15.75" customHeight="1" thickBot="1" x14ac:dyDescent="0.3">
      <c r="A5" s="860"/>
      <c r="B5" s="851"/>
      <c r="C5" s="861"/>
      <c r="D5" s="914" t="str">
        <f>'Front Page'!D5</f>
        <v>Project</v>
      </c>
      <c r="E5" s="834"/>
      <c r="F5" s="835"/>
      <c r="G5" s="899"/>
      <c r="H5" s="835"/>
      <c r="I5" s="131" t="s">
        <v>5</v>
      </c>
      <c r="J5" s="132"/>
      <c r="K5" s="5"/>
      <c r="L5" s="5"/>
      <c r="M5" s="5"/>
      <c r="N5" s="5"/>
      <c r="O5" s="5"/>
      <c r="P5" s="5"/>
    </row>
    <row r="6" spans="1:16" ht="13.5" customHeight="1" thickTop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</row>
    <row r="7" spans="1:16" ht="41.25" customHeight="1" x14ac:dyDescent="0.3">
      <c r="A7" s="927" t="s">
        <v>224</v>
      </c>
      <c r="B7" s="809"/>
      <c r="C7" s="809"/>
      <c r="D7" s="809"/>
      <c r="E7" s="809"/>
      <c r="F7" s="809"/>
      <c r="G7" s="809"/>
      <c r="H7" s="809"/>
      <c r="I7" s="809"/>
      <c r="J7" s="809"/>
      <c r="K7" s="5"/>
      <c r="L7" s="5"/>
      <c r="M7" s="5"/>
      <c r="N7" s="5"/>
      <c r="O7" s="5"/>
      <c r="P7" s="5"/>
    </row>
    <row r="8" spans="1:16" x14ac:dyDescent="0.2">
      <c r="A8" s="65"/>
      <c r="B8" s="65"/>
      <c r="C8" s="65"/>
      <c r="D8" s="65"/>
      <c r="E8" s="6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5.75" customHeight="1" x14ac:dyDescent="0.25">
      <c r="A9" s="102" t="s">
        <v>225</v>
      </c>
      <c r="B9" s="117"/>
      <c r="C9" s="1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">
      <c r="A10" s="5"/>
      <c r="B10" s="5"/>
      <c r="C10" s="5"/>
      <c r="D10" s="117"/>
      <c r="E10" s="117"/>
      <c r="F10" s="117"/>
      <c r="G10" s="117"/>
      <c r="H10" s="117"/>
      <c r="I10" s="117"/>
      <c r="J10" s="117"/>
      <c r="K10" s="5"/>
      <c r="L10" s="5"/>
      <c r="M10" s="5"/>
      <c r="N10" s="5"/>
      <c r="O10" s="5"/>
      <c r="P10" s="5"/>
    </row>
    <row r="11" spans="1:16" ht="12.75" customHeight="1" x14ac:dyDescent="0.2">
      <c r="A11" s="5"/>
      <c r="B11" s="117"/>
      <c r="C11" s="117"/>
      <c r="D11" s="117"/>
      <c r="E11" s="117"/>
      <c r="F11" s="117"/>
      <c r="G11" s="117"/>
      <c r="H11" s="117"/>
      <c r="I11" s="117"/>
      <c r="J11" s="117"/>
      <c r="K11" s="5"/>
      <c r="L11" s="5"/>
      <c r="M11" s="5"/>
      <c r="N11" s="5"/>
      <c r="O11" s="5">
        <f>B12</f>
        <v>0</v>
      </c>
      <c r="P11" s="5"/>
    </row>
    <row r="12" spans="1:16" ht="12.75" customHeight="1" x14ac:dyDescent="0.2">
      <c r="A12" s="121" t="s">
        <v>226</v>
      </c>
      <c r="B12" s="117"/>
      <c r="C12" s="117"/>
      <c r="D12" s="117"/>
      <c r="E12" s="925" t="s">
        <v>227</v>
      </c>
      <c r="F12" s="809"/>
      <c r="G12" s="925" t="s">
        <v>228</v>
      </c>
      <c r="H12" s="809"/>
      <c r="I12" s="122"/>
      <c r="J12" s="122"/>
      <c r="K12" s="5"/>
      <c r="L12" s="5"/>
      <c r="M12" s="5"/>
      <c r="N12" s="5"/>
      <c r="O12" s="5"/>
      <c r="P12" s="5"/>
    </row>
    <row r="13" spans="1:16" x14ac:dyDescent="0.2">
      <c r="A13" s="5"/>
      <c r="B13" s="117"/>
      <c r="C13" s="117"/>
      <c r="D13" s="117"/>
      <c r="E13" s="809"/>
      <c r="F13" s="809"/>
      <c r="G13" s="809"/>
      <c r="H13" s="809"/>
      <c r="I13" s="122"/>
      <c r="J13" s="122"/>
      <c r="K13" s="5"/>
      <c r="L13" s="5"/>
      <c r="M13" s="5"/>
      <c r="N13" s="5"/>
      <c r="O13" s="5"/>
      <c r="P13" s="5"/>
    </row>
    <row r="14" spans="1:16" x14ac:dyDescent="0.2">
      <c r="A14" s="119"/>
      <c r="B14" s="117"/>
      <c r="C14" s="117"/>
      <c r="D14" s="117"/>
      <c r="E14" s="921" t="s">
        <v>229</v>
      </c>
      <c r="F14" s="809"/>
      <c r="G14" s="921" t="s">
        <v>230</v>
      </c>
      <c r="H14" s="809"/>
      <c r="I14" s="212"/>
      <c r="J14" s="212"/>
      <c r="K14" s="5"/>
      <c r="L14" s="118"/>
      <c r="M14" s="118"/>
      <c r="N14" s="118"/>
      <c r="O14" s="118"/>
      <c r="P14" s="118"/>
    </row>
    <row r="15" spans="1:16" x14ac:dyDescent="0.2">
      <c r="A15" s="5"/>
      <c r="B15" s="117"/>
      <c r="C15" s="117"/>
      <c r="D15" s="117"/>
      <c r="E15" s="809"/>
      <c r="F15" s="809"/>
      <c r="G15" s="809"/>
      <c r="H15" s="809"/>
      <c r="I15" s="212"/>
      <c r="J15" s="212"/>
      <c r="K15" s="5"/>
      <c r="L15" s="118"/>
      <c r="M15" s="118"/>
      <c r="N15" s="118"/>
      <c r="O15" s="118"/>
      <c r="P15" s="118"/>
    </row>
    <row r="16" spans="1:16" x14ac:dyDescent="0.2">
      <c r="A16" s="5"/>
      <c r="B16" s="5"/>
      <c r="C16" s="5"/>
      <c r="D16" s="118" t="s">
        <v>231</v>
      </c>
      <c r="E16" s="808"/>
      <c r="F16" s="809"/>
      <c r="G16" s="808"/>
      <c r="H16" s="809"/>
      <c r="I16" s="808"/>
      <c r="J16" s="809"/>
      <c r="K16" s="5"/>
      <c r="L16" s="5"/>
      <c r="M16" s="5"/>
      <c r="N16" s="5"/>
      <c r="O16" s="5"/>
      <c r="P16" s="5"/>
    </row>
    <row r="17" spans="1:16" ht="14.25" customHeight="1" x14ac:dyDescent="0.2">
      <c r="A17" s="71" t="s">
        <v>232</v>
      </c>
      <c r="B17" s="5"/>
      <c r="C17" s="5"/>
      <c r="D17" s="64" t="s">
        <v>233</v>
      </c>
      <c r="E17" s="922">
        <f>55000*0.0069</f>
        <v>379.5</v>
      </c>
      <c r="F17" s="809"/>
      <c r="G17" s="808">
        <v>104.8</v>
      </c>
      <c r="H17" s="809"/>
      <c r="I17" s="5"/>
      <c r="J17" s="5"/>
      <c r="K17" s="5"/>
      <c r="L17" s="5"/>
      <c r="M17" s="5"/>
      <c r="N17" s="5"/>
      <c r="O17" s="5"/>
      <c r="P17" s="5"/>
    </row>
    <row r="18" spans="1:16" x14ac:dyDescent="0.2">
      <c r="A18" s="5"/>
      <c r="B18" s="5"/>
      <c r="C18" s="5"/>
      <c r="D18" s="64" t="s">
        <v>234</v>
      </c>
      <c r="E18" s="926">
        <f>E17/0.0069</f>
        <v>55000</v>
      </c>
      <c r="F18" s="809"/>
      <c r="G18" s="926">
        <f>G17*145.04</f>
        <v>15200.191999999999</v>
      </c>
      <c r="H18" s="809"/>
      <c r="I18" s="117"/>
      <c r="J18" s="5"/>
      <c r="K18" s="5"/>
      <c r="L18" s="5"/>
      <c r="M18" s="5"/>
      <c r="N18" s="5"/>
      <c r="O18" s="5"/>
      <c r="P18" s="5"/>
    </row>
    <row r="19" spans="1:16" x14ac:dyDescent="0.2">
      <c r="A19" s="5"/>
      <c r="B19" s="5"/>
      <c r="C19" s="5"/>
      <c r="D19" s="5"/>
      <c r="E19" s="117"/>
      <c r="F19" s="5"/>
      <c r="G19" s="117"/>
      <c r="H19" s="117"/>
      <c r="I19" s="117"/>
      <c r="J19" s="5"/>
      <c r="K19" s="5"/>
      <c r="L19" s="5"/>
      <c r="M19" s="5"/>
      <c r="N19" s="5"/>
      <c r="O19" s="5"/>
      <c r="P19" s="5"/>
    </row>
    <row r="20" spans="1:16" x14ac:dyDescent="0.2">
      <c r="A20" s="5" t="s">
        <v>235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">
      <c r="A21" s="117"/>
      <c r="B21" s="122"/>
      <c r="C21" s="122"/>
      <c r="D21" s="122"/>
      <c r="E21" s="122"/>
      <c r="F21" s="122"/>
      <c r="G21" s="117"/>
      <c r="H21" s="117"/>
      <c r="I21" s="117"/>
      <c r="J21" s="117"/>
      <c r="K21" s="5"/>
      <c r="L21" s="5"/>
      <c r="M21" s="5"/>
      <c r="N21" s="5"/>
      <c r="O21" s="5"/>
      <c r="P21" s="5"/>
    </row>
    <row r="22" spans="1:16" x14ac:dyDescent="0.2">
      <c r="A22" s="117"/>
      <c r="B22" s="122"/>
      <c r="C22" s="122"/>
      <c r="D22" s="122"/>
      <c r="E22" s="122"/>
      <c r="F22" s="122"/>
      <c r="G22" s="117"/>
      <c r="H22" s="117"/>
      <c r="I22" s="117"/>
      <c r="J22" s="117"/>
      <c r="K22" s="5"/>
      <c r="L22" s="5"/>
      <c r="M22" s="5"/>
      <c r="N22" s="5"/>
      <c r="O22" s="5"/>
      <c r="P22" s="5"/>
    </row>
    <row r="23" spans="1:16" ht="15.75" customHeight="1" x14ac:dyDescent="0.25">
      <c r="A23" s="102" t="s">
        <v>236</v>
      </c>
      <c r="B23" s="117"/>
      <c r="C23" s="117"/>
      <c r="D23" s="5"/>
      <c r="E23" s="5"/>
      <c r="F23" s="5"/>
      <c r="G23" s="5"/>
      <c r="H23" s="5"/>
      <c r="I23" s="117"/>
      <c r="J23" s="117"/>
      <c r="K23" s="5"/>
      <c r="L23" s="5"/>
      <c r="M23" s="5"/>
      <c r="N23" s="5"/>
      <c r="O23" s="5"/>
      <c r="P23" s="5"/>
    </row>
    <row r="24" spans="1:16" x14ac:dyDescent="0.2">
      <c r="A24" s="5"/>
      <c r="B24" s="5"/>
      <c r="C24" s="5"/>
      <c r="D24" s="117"/>
      <c r="E24" s="117"/>
      <c r="F24" s="117"/>
      <c r="G24" s="117"/>
      <c r="H24" s="117"/>
      <c r="I24" s="117"/>
      <c r="J24" s="117"/>
      <c r="K24" s="5"/>
      <c r="L24" s="5"/>
      <c r="M24" s="5"/>
      <c r="N24" s="5"/>
      <c r="O24" s="5"/>
      <c r="P24" s="5"/>
    </row>
    <row r="25" spans="1:16" x14ac:dyDescent="0.2">
      <c r="A25" s="5"/>
      <c r="B25" s="117"/>
      <c r="C25" s="117"/>
      <c r="D25" s="117"/>
      <c r="E25" s="117"/>
      <c r="F25" s="117"/>
      <c r="G25" s="117"/>
      <c r="H25" s="117"/>
      <c r="I25" s="117"/>
      <c r="J25" s="117"/>
      <c r="K25" s="5"/>
      <c r="L25" s="5"/>
      <c r="M25" s="5"/>
      <c r="N25" s="5"/>
      <c r="O25" s="5"/>
      <c r="P25" s="5"/>
    </row>
    <row r="26" spans="1:16" ht="12.75" customHeight="1" x14ac:dyDescent="0.2">
      <c r="A26" s="121" t="s">
        <v>226</v>
      </c>
      <c r="B26" s="117"/>
      <c r="C26" s="117"/>
      <c r="D26" s="117"/>
      <c r="E26" s="925" t="s">
        <v>227</v>
      </c>
      <c r="F26" s="809"/>
      <c r="G26" s="925" t="s">
        <v>237</v>
      </c>
      <c r="H26" s="809"/>
      <c r="I26" s="925" t="s">
        <v>238</v>
      </c>
      <c r="J26" s="809"/>
      <c r="K26" s="5"/>
      <c r="L26" s="5"/>
      <c r="M26" s="5"/>
      <c r="N26" s="5"/>
      <c r="O26" s="5"/>
      <c r="P26" s="5"/>
    </row>
    <row r="27" spans="1:16" x14ac:dyDescent="0.2">
      <c r="A27" s="5"/>
      <c r="B27" s="117"/>
      <c r="C27" s="117"/>
      <c r="D27" s="117"/>
      <c r="E27" s="809"/>
      <c r="F27" s="809"/>
      <c r="G27" s="809"/>
      <c r="H27" s="809"/>
      <c r="I27" s="809"/>
      <c r="J27" s="809"/>
      <c r="K27" s="5"/>
      <c r="L27" s="5"/>
      <c r="M27" s="5"/>
      <c r="N27" s="5"/>
      <c r="O27" s="5"/>
      <c r="P27" s="5"/>
    </row>
    <row r="28" spans="1:16" x14ac:dyDescent="0.2">
      <c r="A28" s="119"/>
      <c r="B28" s="117"/>
      <c r="C28" s="117"/>
      <c r="D28" s="117"/>
      <c r="E28" s="921" t="s">
        <v>229</v>
      </c>
      <c r="F28" s="809"/>
      <c r="G28" s="921" t="s">
        <v>239</v>
      </c>
      <c r="H28" s="809"/>
      <c r="I28" s="921" t="s">
        <v>240</v>
      </c>
      <c r="J28" s="809"/>
      <c r="K28" s="5"/>
      <c r="L28" s="5"/>
      <c r="M28" s="5"/>
      <c r="N28" s="5"/>
      <c r="O28" s="5"/>
      <c r="P28" s="5"/>
    </row>
    <row r="29" spans="1:16" x14ac:dyDescent="0.2">
      <c r="A29" s="5"/>
      <c r="B29" s="117"/>
      <c r="C29" s="117"/>
      <c r="D29" s="117"/>
      <c r="E29" s="809"/>
      <c r="F29" s="809"/>
      <c r="G29" s="809"/>
      <c r="H29" s="809"/>
      <c r="I29" s="809"/>
      <c r="J29" s="809"/>
      <c r="K29" s="5"/>
      <c r="L29" s="5"/>
      <c r="M29" s="5"/>
      <c r="N29" s="5"/>
      <c r="O29" s="5"/>
      <c r="P29" s="5"/>
    </row>
    <row r="30" spans="1:16" ht="15.75" customHeight="1" x14ac:dyDescent="0.2">
      <c r="A30" s="5"/>
      <c r="B30" s="5"/>
      <c r="C30" s="5"/>
      <c r="D30" s="118" t="s">
        <v>231</v>
      </c>
      <c r="E30" s="808"/>
      <c r="F30" s="809"/>
      <c r="G30" s="808"/>
      <c r="H30" s="809"/>
      <c r="I30" s="922"/>
      <c r="J30" s="809"/>
      <c r="K30" s="5"/>
      <c r="L30" s="5"/>
      <c r="M30" s="5"/>
      <c r="N30" s="5"/>
      <c r="O30" s="5"/>
      <c r="P30" s="5"/>
    </row>
    <row r="31" spans="1:16" ht="14.25" customHeight="1" x14ac:dyDescent="0.2">
      <c r="A31" s="71" t="s">
        <v>241</v>
      </c>
      <c r="B31" s="5"/>
      <c r="C31" s="5"/>
      <c r="D31" s="64" t="s">
        <v>233</v>
      </c>
      <c r="E31" s="923">
        <f>E32/145.04</f>
        <v>517.09873138444573</v>
      </c>
      <c r="F31" s="809"/>
      <c r="G31" s="923">
        <f>G32/145.04</f>
        <v>155.12961941533371</v>
      </c>
      <c r="H31" s="809"/>
      <c r="I31" s="923">
        <f>I32/145.04</f>
        <v>186.15554329840046</v>
      </c>
      <c r="J31" s="809"/>
      <c r="K31" s="5"/>
      <c r="L31" s="5"/>
      <c r="M31" s="5"/>
      <c r="N31" s="5"/>
      <c r="O31" s="5"/>
      <c r="P31" s="5"/>
    </row>
    <row r="32" spans="1:16" x14ac:dyDescent="0.2">
      <c r="A32" s="69"/>
      <c r="B32" s="64"/>
      <c r="C32" s="64"/>
      <c r="D32" s="64" t="s">
        <v>234</v>
      </c>
      <c r="E32" s="924">
        <v>75000</v>
      </c>
      <c r="F32" s="809"/>
      <c r="G32" s="924">
        <v>22500</v>
      </c>
      <c r="H32" s="809"/>
      <c r="I32" s="924">
        <v>27000</v>
      </c>
      <c r="J32" s="809"/>
      <c r="K32" s="5"/>
      <c r="L32" s="5"/>
      <c r="M32" s="5"/>
      <c r="N32" s="5"/>
      <c r="O32" s="5"/>
      <c r="P32" s="5"/>
    </row>
    <row r="33" spans="1:16" x14ac:dyDescent="0.2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5"/>
      <c r="L33" s="5"/>
      <c r="M33" s="5"/>
      <c r="N33" s="5"/>
      <c r="O33" s="5"/>
      <c r="P33" s="5"/>
    </row>
    <row r="34" spans="1:16" x14ac:dyDescent="0.2">
      <c r="A34" s="119"/>
      <c r="B34" s="117"/>
      <c r="C34" s="117"/>
      <c r="D34" s="5"/>
      <c r="E34" s="117"/>
      <c r="F34" s="117"/>
      <c r="G34" s="117"/>
      <c r="H34" s="117"/>
      <c r="I34" s="117"/>
      <c r="J34" s="117"/>
      <c r="K34" s="5"/>
      <c r="L34" s="5"/>
      <c r="M34" s="5"/>
      <c r="N34" s="5"/>
      <c r="O34" s="5"/>
      <c r="P34" s="5"/>
    </row>
    <row r="35" spans="1:16" x14ac:dyDescent="0.2">
      <c r="A35" s="5" t="s">
        <v>242</v>
      </c>
      <c r="B35" s="117"/>
      <c r="C35" s="117"/>
      <c r="D35" s="5"/>
      <c r="E35" s="117"/>
      <c r="F35" s="117"/>
      <c r="G35" s="117"/>
      <c r="H35" s="117"/>
      <c r="I35" s="117"/>
      <c r="J35" s="117"/>
      <c r="K35" s="5"/>
      <c r="L35" s="5"/>
      <c r="M35" s="5"/>
      <c r="N35" s="5"/>
      <c r="O35" s="5"/>
      <c r="P35" s="5"/>
    </row>
    <row r="36" spans="1:16" x14ac:dyDescent="0.2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5"/>
      <c r="L36" s="5"/>
      <c r="M36" s="5"/>
      <c r="N36" s="5"/>
      <c r="O36" s="5"/>
      <c r="P36" s="5"/>
    </row>
    <row r="37" spans="1:16" x14ac:dyDescent="0.2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5"/>
      <c r="L37" s="5"/>
      <c r="M37" s="5"/>
      <c r="N37" s="5"/>
      <c r="O37" s="5"/>
      <c r="P37" s="5"/>
    </row>
    <row r="38" spans="1:16" x14ac:dyDescent="0.2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5"/>
      <c r="L38" s="5"/>
      <c r="M38" s="5"/>
      <c r="N38" s="5"/>
      <c r="O38" s="5"/>
      <c r="P38" s="5"/>
    </row>
    <row r="39" spans="1:1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2">
      <c r="A40" s="5"/>
      <c r="B40" s="123"/>
      <c r="C40" s="5"/>
      <c r="D40" s="5"/>
      <c r="E40" s="5"/>
      <c r="F40" s="5"/>
      <c r="G40" s="5"/>
      <c r="H40" s="123"/>
      <c r="I40" s="5"/>
      <c r="J40" s="5"/>
      <c r="K40" s="5"/>
      <c r="L40" s="5"/>
      <c r="M40" s="5"/>
      <c r="N40" s="5"/>
      <c r="O40" s="5"/>
      <c r="P40" s="5"/>
    </row>
    <row r="41" spans="1:16" x14ac:dyDescent="0.2">
      <c r="A41" s="5"/>
      <c r="B41" s="1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5"/>
      <c r="L42" s="5"/>
      <c r="M42" s="5"/>
      <c r="N42" s="5"/>
      <c r="O42" s="5"/>
      <c r="P42" s="5"/>
    </row>
    <row r="43" spans="1:16" x14ac:dyDescent="0.2">
      <c r="A43" s="1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15.75" customHeight="1" x14ac:dyDescent="0.25">
      <c r="A46" s="102"/>
      <c r="B46" s="102"/>
      <c r="C46" s="102"/>
      <c r="D46" s="102"/>
      <c r="E46" s="102"/>
      <c r="F46" s="102"/>
      <c r="G46" s="102"/>
      <c r="H46" s="102"/>
      <c r="I46" s="68"/>
      <c r="J46" s="68"/>
      <c r="K46" s="5"/>
      <c r="L46" s="5"/>
      <c r="M46" s="5"/>
      <c r="N46" s="5"/>
      <c r="O46" s="5"/>
      <c r="P46" s="5"/>
    </row>
    <row r="47" spans="1:16" ht="15.75" customHeight="1" x14ac:dyDescent="0.25">
      <c r="A47" s="102"/>
      <c r="B47" s="102"/>
      <c r="C47" s="102"/>
      <c r="D47" s="102"/>
      <c r="E47" s="102"/>
      <c r="F47" s="102"/>
      <c r="G47" s="102"/>
      <c r="H47" s="102"/>
      <c r="I47" s="124"/>
      <c r="J47" s="102"/>
      <c r="K47" s="5"/>
      <c r="L47" s="5"/>
      <c r="M47" s="5"/>
      <c r="N47" s="5"/>
      <c r="O47" s="5"/>
      <c r="P47" s="5"/>
    </row>
    <row r="48" spans="1:16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2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5"/>
      <c r="L50" s="5"/>
      <c r="M50" s="5"/>
      <c r="N50" s="5"/>
      <c r="O50" s="5"/>
      <c r="P50" s="5"/>
    </row>
    <row r="51" spans="1:16" x14ac:dyDescent="0.2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5"/>
      <c r="L51" s="5"/>
      <c r="M51" s="5"/>
      <c r="N51" s="5"/>
      <c r="O51" s="5"/>
      <c r="P51" s="5"/>
    </row>
    <row r="52" spans="1:16" x14ac:dyDescent="0.2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5"/>
      <c r="L52" s="5"/>
      <c r="M52" s="5"/>
      <c r="N52" s="5"/>
      <c r="O52" s="5"/>
      <c r="P52" s="5"/>
    </row>
  </sheetData>
  <mergeCells count="38">
    <mergeCell ref="D1:J1"/>
    <mergeCell ref="D2:J2"/>
    <mergeCell ref="A4:C4"/>
    <mergeCell ref="D4:F4"/>
    <mergeCell ref="G4:H4"/>
    <mergeCell ref="I4:J4"/>
    <mergeCell ref="D3:J3"/>
    <mergeCell ref="A1:C3"/>
    <mergeCell ref="A5:C5"/>
    <mergeCell ref="D5:F5"/>
    <mergeCell ref="A7:J7"/>
    <mergeCell ref="G5:H5"/>
    <mergeCell ref="E16:F16"/>
    <mergeCell ref="G12:H13"/>
    <mergeCell ref="G14:H15"/>
    <mergeCell ref="G16:H16"/>
    <mergeCell ref="E12:F13"/>
    <mergeCell ref="G26:H27"/>
    <mergeCell ref="I16:J16"/>
    <mergeCell ref="E17:F17"/>
    <mergeCell ref="G17:H17"/>
    <mergeCell ref="E14:F15"/>
    <mergeCell ref="E18:F18"/>
    <mergeCell ref="G18:H18"/>
    <mergeCell ref="I26:J27"/>
    <mergeCell ref="E26:F27"/>
    <mergeCell ref="E32:F32"/>
    <mergeCell ref="G32:H32"/>
    <mergeCell ref="I32:J32"/>
    <mergeCell ref="E31:F31"/>
    <mergeCell ref="G31:H31"/>
    <mergeCell ref="I28:J29"/>
    <mergeCell ref="I30:J30"/>
    <mergeCell ref="I31:J31"/>
    <mergeCell ref="E28:F29"/>
    <mergeCell ref="G28:H29"/>
    <mergeCell ref="E30:F30"/>
    <mergeCell ref="G30:H30"/>
  </mergeCells>
  <pageMargins left="0.74803149606299213" right="0.74803149606299213" top="0.98425196850393704" bottom="0.98425196850393704" header="0" footer="0"/>
  <pageSetup paperSize="9" scale="94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T101"/>
  <sheetViews>
    <sheetView topLeftCell="A63" workbookViewId="0">
      <selection activeCell="A64" sqref="A64"/>
    </sheetView>
    <sheetView tabSelected="1" topLeftCell="A11" workbookViewId="1">
      <selection sqref="A1:AK5"/>
    </sheetView>
  </sheetViews>
  <sheetFormatPr defaultColWidth="11.42578125" defaultRowHeight="12.75" x14ac:dyDescent="0.2"/>
  <cols>
    <col min="1" max="1" width="10" customWidth="1"/>
    <col min="2" max="2" width="8.85546875" customWidth="1"/>
    <col min="3" max="3" width="9.140625" customWidth="1"/>
    <col min="4" max="4" width="8.140625" customWidth="1"/>
    <col min="5" max="5" width="10.42578125" customWidth="1"/>
    <col min="6" max="6" width="8.140625" customWidth="1"/>
    <col min="7" max="7" width="9.85546875" customWidth="1"/>
    <col min="8" max="8" width="9.140625" customWidth="1"/>
    <col min="9" max="9" width="8.85546875" customWidth="1"/>
    <col min="10" max="10" width="7" customWidth="1"/>
    <col min="11" max="11" width="10" customWidth="1"/>
    <col min="12" max="12" width="11.140625" customWidth="1"/>
    <col min="13" max="13" width="9.140625" customWidth="1"/>
    <col min="14" max="14" width="8.140625" customWidth="1"/>
    <col min="15" max="15" width="10.42578125" customWidth="1"/>
    <col min="16" max="16" width="8.140625" customWidth="1"/>
    <col min="17" max="17" width="7.85546875" customWidth="1"/>
    <col min="18" max="18" width="12.85546875" customWidth="1"/>
    <col min="19" max="19" width="8.85546875" customWidth="1"/>
    <col min="20" max="20" width="7" customWidth="1"/>
  </cols>
  <sheetData>
    <row r="1" spans="1:20" ht="17.25" customHeight="1" thickTop="1" thickBot="1" x14ac:dyDescent="0.3">
      <c r="A1" s="28"/>
      <c r="B1" s="4"/>
      <c r="C1" s="126"/>
      <c r="D1" s="913" t="str">
        <f>'Front Page'!$A$13</f>
        <v>Mechanical  Calculations</v>
      </c>
      <c r="E1" s="842"/>
      <c r="F1" s="842"/>
      <c r="G1" s="842"/>
      <c r="H1" s="842"/>
      <c r="I1" s="842"/>
      <c r="J1" s="843"/>
      <c r="K1" s="28"/>
      <c r="L1" s="4"/>
      <c r="M1" s="126"/>
      <c r="N1" s="913" t="str">
        <f>'Front Page'!$A$13</f>
        <v>Mechanical  Calculations</v>
      </c>
      <c r="O1" s="842"/>
      <c r="P1" s="842"/>
      <c r="Q1" s="842"/>
      <c r="R1" s="842"/>
      <c r="S1" s="842"/>
      <c r="T1" s="843"/>
    </row>
    <row r="2" spans="1:20" ht="16.5" customHeight="1" thickBot="1" x14ac:dyDescent="0.3">
      <c r="A2" s="6"/>
      <c r="B2" s="5"/>
      <c r="C2" s="127"/>
      <c r="D2" s="839"/>
      <c r="E2" s="831"/>
      <c r="F2" s="831"/>
      <c r="G2" s="831"/>
      <c r="H2" s="831"/>
      <c r="I2" s="831"/>
      <c r="J2" s="832"/>
      <c r="K2" s="6"/>
      <c r="L2" s="5"/>
      <c r="M2" s="127"/>
      <c r="N2" s="839"/>
      <c r="O2" s="831"/>
      <c r="P2" s="831"/>
      <c r="Q2" s="831"/>
      <c r="R2" s="831"/>
      <c r="S2" s="831"/>
      <c r="T2" s="832"/>
    </row>
    <row r="3" spans="1:20" ht="16.5" customHeight="1" thickBot="1" x14ac:dyDescent="0.3">
      <c r="A3" s="8"/>
      <c r="B3" s="9"/>
      <c r="C3" s="128"/>
      <c r="D3" s="839" t="s">
        <v>243</v>
      </c>
      <c r="E3" s="831"/>
      <c r="F3" s="831"/>
      <c r="G3" s="831"/>
      <c r="H3" s="831"/>
      <c r="I3" s="831"/>
      <c r="J3" s="832"/>
      <c r="K3" s="8"/>
      <c r="L3" s="9"/>
      <c r="M3" s="128"/>
      <c r="N3" s="839" t="s">
        <v>243</v>
      </c>
      <c r="O3" s="831"/>
      <c r="P3" s="831"/>
      <c r="Q3" s="831"/>
      <c r="R3" s="831"/>
      <c r="S3" s="831"/>
      <c r="T3" s="832"/>
    </row>
    <row r="4" spans="1:20" ht="15.75" customHeight="1" thickBot="1" x14ac:dyDescent="0.3">
      <c r="A4" s="873"/>
      <c r="B4" s="848"/>
      <c r="C4" s="865"/>
      <c r="D4" s="915" t="str">
        <f>'Front Page'!$D$4</f>
        <v>Doc Nº</v>
      </c>
      <c r="E4" s="831"/>
      <c r="F4" s="832"/>
      <c r="G4" s="846"/>
      <c r="H4" s="832"/>
      <c r="I4" s="846"/>
      <c r="J4" s="832"/>
      <c r="K4" s="873"/>
      <c r="L4" s="848"/>
      <c r="M4" s="865"/>
      <c r="N4" s="915" t="str">
        <f>'Front Page'!$D$4</f>
        <v>Doc Nº</v>
      </c>
      <c r="O4" s="831"/>
      <c r="P4" s="832"/>
      <c r="Q4" s="846"/>
      <c r="R4" s="832"/>
      <c r="S4" s="846"/>
      <c r="T4" s="832"/>
    </row>
    <row r="5" spans="1:20" ht="15.75" customHeight="1" thickBot="1" x14ac:dyDescent="0.3">
      <c r="A5" s="860"/>
      <c r="B5" s="851"/>
      <c r="C5" s="861"/>
      <c r="D5" s="914" t="str">
        <f>'Front Page'!$D$5</f>
        <v>Project</v>
      </c>
      <c r="E5" s="834"/>
      <c r="F5" s="835"/>
      <c r="G5" s="899"/>
      <c r="H5" s="835"/>
      <c r="I5" s="131" t="s">
        <v>5</v>
      </c>
      <c r="J5" s="132"/>
      <c r="K5" s="860"/>
      <c r="L5" s="851"/>
      <c r="M5" s="861"/>
      <c r="N5" s="914" t="str">
        <f>'Front Page'!$D$5</f>
        <v>Project</v>
      </c>
      <c r="O5" s="834"/>
      <c r="P5" s="835"/>
      <c r="Q5" s="899"/>
      <c r="R5" s="835"/>
      <c r="S5" s="131" t="s">
        <v>5</v>
      </c>
      <c r="T5" s="132"/>
    </row>
    <row r="6" spans="1:20" ht="13.5" customHeight="1" thickTop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4" customHeight="1" x14ac:dyDescent="0.3">
      <c r="A8" s="927" t="s">
        <v>244</v>
      </c>
      <c r="B8" s="809"/>
      <c r="C8" s="809"/>
      <c r="D8" s="809"/>
      <c r="E8" s="809"/>
      <c r="F8" s="809"/>
      <c r="G8" s="809"/>
      <c r="H8" s="809"/>
      <c r="I8" s="809"/>
      <c r="J8" s="809"/>
      <c r="K8" s="927" t="s">
        <v>244</v>
      </c>
      <c r="L8" s="809"/>
      <c r="M8" s="809"/>
      <c r="N8" s="809"/>
      <c r="O8" s="809"/>
      <c r="P8" s="809"/>
      <c r="Q8" s="809"/>
      <c r="R8" s="809"/>
      <c r="S8" s="809"/>
      <c r="T8" s="809"/>
    </row>
    <row r="9" spans="1:20" ht="20.25" customHeight="1" x14ac:dyDescent="0.3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</row>
    <row r="10" spans="1:20" ht="20.25" customHeight="1" x14ac:dyDescent="0.3">
      <c r="A10" s="210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</row>
    <row r="11" spans="1:20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8.75" customHeight="1" x14ac:dyDescent="0.25">
      <c r="A12" s="134" t="s">
        <v>245</v>
      </c>
      <c r="B12" s="5"/>
      <c r="C12" s="5"/>
      <c r="D12" s="5"/>
      <c r="E12" s="5"/>
      <c r="F12" s="5"/>
      <c r="G12" s="5"/>
      <c r="H12" s="5"/>
      <c r="I12" s="5"/>
      <c r="J12" s="5"/>
      <c r="K12" s="134" t="s">
        <v>245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4.25" customHeight="1" x14ac:dyDescent="0.2">
      <c r="A14" s="64" t="s">
        <v>246</v>
      </c>
      <c r="B14" s="215"/>
      <c r="C14" s="215"/>
      <c r="D14" s="5"/>
      <c r="E14" s="5"/>
      <c r="F14" s="216">
        <f>'Main Dimensions Calcs'!D32</f>
        <v>23400</v>
      </c>
      <c r="G14" s="5" t="s">
        <v>247</v>
      </c>
      <c r="H14" s="5"/>
      <c r="I14" s="5"/>
      <c r="J14" s="5"/>
      <c r="K14" s="64" t="s">
        <v>246</v>
      </c>
      <c r="L14" s="215"/>
      <c r="M14" s="215"/>
      <c r="N14" s="5"/>
      <c r="O14" s="5"/>
      <c r="P14" s="217">
        <f>F14/25.4</f>
        <v>921.25984251968509</v>
      </c>
      <c r="Q14" s="5" t="s">
        <v>248</v>
      </c>
      <c r="R14" s="5"/>
      <c r="S14" s="5"/>
      <c r="T14" s="5"/>
    </row>
    <row r="15" spans="1:20" x14ac:dyDescent="0.2">
      <c r="A15" s="64" t="s">
        <v>249</v>
      </c>
      <c r="B15" s="5"/>
      <c r="C15" s="5"/>
      <c r="D15" s="5"/>
      <c r="E15" s="5"/>
      <c r="F15" s="216">
        <f>+'Main Dimensions Calcs'!D30</f>
        <v>8913.0432931562736</v>
      </c>
      <c r="G15" s="64" t="s">
        <v>247</v>
      </c>
      <c r="H15" s="5"/>
      <c r="I15" s="5"/>
      <c r="J15" s="5"/>
      <c r="K15" s="64" t="s">
        <v>249</v>
      </c>
      <c r="L15" s="5"/>
      <c r="M15" s="5"/>
      <c r="N15" s="5"/>
      <c r="O15" s="5"/>
      <c r="P15" s="217">
        <f>F15/25.4</f>
        <v>350.90721626599503</v>
      </c>
      <c r="Q15" s="64" t="s">
        <v>248</v>
      </c>
      <c r="R15" s="5"/>
      <c r="S15" s="5"/>
      <c r="T15" s="5"/>
    </row>
    <row r="16" spans="1:20" ht="14.25" customHeight="1" x14ac:dyDescent="0.2">
      <c r="A16" s="64" t="s">
        <v>250</v>
      </c>
      <c r="B16" s="215"/>
      <c r="C16" s="215"/>
      <c r="D16" s="5"/>
      <c r="E16" s="5"/>
      <c r="F16" s="216">
        <f>'Main Dimensions Calcs'!D33</f>
        <v>19400</v>
      </c>
      <c r="G16" s="5" t="s">
        <v>247</v>
      </c>
      <c r="H16" s="5"/>
      <c r="I16" s="5"/>
      <c r="J16" s="5"/>
      <c r="K16" s="64" t="s">
        <v>250</v>
      </c>
      <c r="L16" s="215"/>
      <c r="M16" s="215"/>
      <c r="N16" s="5"/>
      <c r="O16" s="5"/>
      <c r="P16" s="217">
        <f>F16/25.4</f>
        <v>763.77952755905517</v>
      </c>
      <c r="Q16" s="5" t="s">
        <v>248</v>
      </c>
      <c r="R16" s="5"/>
      <c r="S16" s="5"/>
      <c r="T16" s="5"/>
    </row>
    <row r="17" spans="1:20" ht="14.25" customHeight="1" x14ac:dyDescent="0.2">
      <c r="A17" s="64" t="s">
        <v>251</v>
      </c>
      <c r="B17" s="215"/>
      <c r="C17" s="215"/>
      <c r="D17" s="5"/>
      <c r="E17" s="5"/>
      <c r="F17" s="216">
        <f>'Main Dimensions Calcs'!D35</f>
        <v>12</v>
      </c>
      <c r="G17" s="5" t="s">
        <v>247</v>
      </c>
      <c r="H17" s="5"/>
      <c r="I17" s="5"/>
      <c r="J17" s="5"/>
      <c r="K17" s="64" t="s">
        <v>251</v>
      </c>
      <c r="L17" s="215"/>
      <c r="M17" s="215"/>
      <c r="N17" s="5"/>
      <c r="O17" s="5"/>
      <c r="P17" s="217">
        <f>F17/25.4</f>
        <v>0.47244094488188981</v>
      </c>
      <c r="Q17" s="5" t="s">
        <v>248</v>
      </c>
      <c r="R17" s="5"/>
      <c r="S17" s="5"/>
      <c r="T17" s="5"/>
    </row>
    <row r="18" spans="1:20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8" customHeight="1" x14ac:dyDescent="0.25">
      <c r="A19" s="134" t="s">
        <v>252</v>
      </c>
      <c r="B19" s="5"/>
      <c r="C19" s="5"/>
      <c r="D19" s="5"/>
      <c r="E19" s="5"/>
      <c r="F19" s="5"/>
      <c r="G19" s="5"/>
      <c r="H19" s="5"/>
      <c r="I19" s="5"/>
      <c r="J19" s="5"/>
      <c r="K19" s="134" t="s">
        <v>252</v>
      </c>
      <c r="L19" s="5"/>
      <c r="M19" s="5"/>
      <c r="N19" s="5"/>
      <c r="O19" s="5"/>
      <c r="P19" s="5"/>
      <c r="Q19" s="5"/>
      <c r="R19" s="5"/>
      <c r="S19" s="5"/>
      <c r="T19" s="5"/>
    </row>
    <row r="20" spans="1:20" ht="18" customHeight="1" x14ac:dyDescent="0.25">
      <c r="A20" s="134"/>
      <c r="B20" s="5"/>
      <c r="C20" s="5"/>
      <c r="D20" s="5"/>
      <c r="E20" s="5"/>
      <c r="F20" s="5"/>
      <c r="G20" s="5"/>
      <c r="H20" s="5"/>
      <c r="I20" s="5"/>
      <c r="J20" s="5"/>
      <c r="K20" s="134"/>
      <c r="L20" s="5"/>
      <c r="M20" s="5"/>
      <c r="N20" s="5"/>
      <c r="O20" s="5"/>
      <c r="P20" s="5"/>
      <c r="Q20" s="5"/>
      <c r="R20" s="5"/>
      <c r="S20" s="5"/>
      <c r="T20" s="5"/>
    </row>
    <row r="21" spans="1:20" ht="20.25" customHeight="1" x14ac:dyDescent="0.2">
      <c r="A21" s="14" t="s">
        <v>253</v>
      </c>
      <c r="B21" s="932" t="s">
        <v>254</v>
      </c>
      <c r="C21" s="809"/>
      <c r="D21" s="932" t="s">
        <v>255</v>
      </c>
      <c r="E21" s="809"/>
      <c r="F21" s="5"/>
      <c r="G21" s="5"/>
      <c r="H21" s="5"/>
      <c r="I21" s="5"/>
      <c r="J21" s="5"/>
      <c r="K21" s="14" t="s">
        <v>253</v>
      </c>
      <c r="L21" s="932" t="s">
        <v>254</v>
      </c>
      <c r="M21" s="809"/>
      <c r="N21" s="932" t="s">
        <v>255</v>
      </c>
      <c r="O21" s="809"/>
      <c r="P21" s="5"/>
      <c r="Q21" s="5"/>
      <c r="R21" s="5"/>
      <c r="S21" s="5"/>
      <c r="T21" s="5"/>
    </row>
    <row r="22" spans="1:20" ht="28.5" customHeight="1" x14ac:dyDescent="0.2">
      <c r="A22" s="218" t="s">
        <v>256</v>
      </c>
      <c r="B22" s="932" t="s">
        <v>257</v>
      </c>
      <c r="C22" s="809"/>
      <c r="D22" s="932" t="s">
        <v>258</v>
      </c>
      <c r="E22" s="809"/>
      <c r="F22" s="5"/>
      <c r="G22" s="5"/>
      <c r="H22" s="5"/>
      <c r="I22" s="5"/>
      <c r="J22" s="5"/>
      <c r="K22" s="218" t="s">
        <v>256</v>
      </c>
      <c r="L22" s="932" t="s">
        <v>257</v>
      </c>
      <c r="M22" s="809"/>
      <c r="N22" s="932" t="s">
        <v>258</v>
      </c>
      <c r="O22" s="809"/>
      <c r="P22" s="5"/>
      <c r="Q22" s="5"/>
      <c r="R22" s="5"/>
      <c r="S22" s="5"/>
      <c r="T22" s="5"/>
    </row>
    <row r="23" spans="1:20" x14ac:dyDescent="0.2">
      <c r="A23" s="5"/>
      <c r="B23" s="808" t="s">
        <v>247</v>
      </c>
      <c r="C23" s="809"/>
      <c r="D23" s="808" t="s">
        <v>247</v>
      </c>
      <c r="E23" s="809"/>
      <c r="F23" s="5"/>
      <c r="G23" s="5"/>
      <c r="H23" s="5"/>
      <c r="I23" s="5"/>
      <c r="J23" s="5"/>
      <c r="K23" s="5"/>
      <c r="L23" s="808" t="s">
        <v>248</v>
      </c>
      <c r="M23" s="809"/>
      <c r="N23" s="808" t="s">
        <v>248</v>
      </c>
      <c r="O23" s="809"/>
      <c r="P23" s="5"/>
      <c r="Q23" s="5"/>
      <c r="R23" s="5"/>
      <c r="S23" s="5"/>
      <c r="T23" s="5"/>
    </row>
    <row r="24" spans="1:20" x14ac:dyDescent="0.2">
      <c r="A24" s="14">
        <v>1</v>
      </c>
      <c r="B24" s="930">
        <f>'Main Dimensions Calcs'!H25</f>
        <v>6</v>
      </c>
      <c r="C24" s="809"/>
      <c r="D24" s="930">
        <f>'Main Dimensions Calcs'!I25</f>
        <v>2229</v>
      </c>
      <c r="E24" s="809"/>
      <c r="F24" s="5"/>
      <c r="G24" s="5"/>
      <c r="H24" s="5"/>
      <c r="I24" s="5"/>
      <c r="J24" s="5"/>
      <c r="K24" s="14">
        <v>1</v>
      </c>
      <c r="L24" s="931">
        <f t="shared" ref="L24:L33" si="0">B24/25.4</f>
        <v>0.23622047244094491</v>
      </c>
      <c r="M24" s="809"/>
      <c r="N24" s="931">
        <f t="shared" ref="N24:N33" si="1">D24/25.4</f>
        <v>87.755905511811022</v>
      </c>
      <c r="O24" s="809"/>
      <c r="P24" s="5"/>
      <c r="Q24" s="5"/>
      <c r="R24" s="5"/>
      <c r="S24" s="5"/>
      <c r="T24" s="5"/>
    </row>
    <row r="25" spans="1:20" x14ac:dyDescent="0.2">
      <c r="A25" s="14">
        <v>2</v>
      </c>
      <c r="B25" s="930">
        <f>'Main Dimensions Calcs'!H26</f>
        <v>6</v>
      </c>
      <c r="C25" s="809"/>
      <c r="D25" s="930">
        <f>'Main Dimensions Calcs'!I26</f>
        <v>2229</v>
      </c>
      <c r="E25" s="809"/>
      <c r="F25" s="5"/>
      <c r="G25" s="5"/>
      <c r="H25" s="5"/>
      <c r="I25" s="5"/>
      <c r="J25" s="5"/>
      <c r="K25" s="14">
        <v>2</v>
      </c>
      <c r="L25" s="931">
        <f t="shared" si="0"/>
        <v>0.23622047244094491</v>
      </c>
      <c r="M25" s="809"/>
      <c r="N25" s="931">
        <f t="shared" si="1"/>
        <v>87.755905511811022</v>
      </c>
      <c r="O25" s="809"/>
      <c r="P25" s="5"/>
      <c r="Q25" s="5"/>
      <c r="R25" s="5"/>
      <c r="S25" s="5"/>
      <c r="T25" s="5"/>
    </row>
    <row r="26" spans="1:20" x14ac:dyDescent="0.2">
      <c r="A26" s="14">
        <v>3</v>
      </c>
      <c r="B26" s="930">
        <f>'Main Dimensions Calcs'!H27</f>
        <v>6</v>
      </c>
      <c r="C26" s="809"/>
      <c r="D26" s="930">
        <f>'Main Dimensions Calcs'!I27</f>
        <v>2229</v>
      </c>
      <c r="E26" s="809"/>
      <c r="F26" s="5"/>
      <c r="G26" s="5"/>
      <c r="H26" s="5"/>
      <c r="I26" s="5"/>
      <c r="J26" s="5"/>
      <c r="K26" s="14">
        <v>3</v>
      </c>
      <c r="L26" s="931">
        <f t="shared" si="0"/>
        <v>0.23622047244094491</v>
      </c>
      <c r="M26" s="809"/>
      <c r="N26" s="931">
        <f t="shared" si="1"/>
        <v>87.755905511811022</v>
      </c>
      <c r="O26" s="809"/>
      <c r="P26" s="5"/>
      <c r="Q26" s="5"/>
      <c r="R26" s="5"/>
      <c r="S26" s="5"/>
      <c r="T26" s="5"/>
    </row>
    <row r="27" spans="1:20" x14ac:dyDescent="0.2">
      <c r="A27" s="14">
        <v>4</v>
      </c>
      <c r="B27" s="930">
        <f>'Main Dimensions Calcs'!H28</f>
        <v>6</v>
      </c>
      <c r="C27" s="809"/>
      <c r="D27" s="930">
        <f>'Main Dimensions Calcs'!I28</f>
        <v>2229</v>
      </c>
      <c r="E27" s="809"/>
      <c r="F27" s="5"/>
      <c r="G27" s="5"/>
      <c r="H27" s="5"/>
      <c r="I27" s="5"/>
      <c r="J27" s="5"/>
      <c r="K27" s="14">
        <v>4</v>
      </c>
      <c r="L27" s="931">
        <f t="shared" si="0"/>
        <v>0.23622047244094491</v>
      </c>
      <c r="M27" s="809"/>
      <c r="N27" s="931">
        <f t="shared" si="1"/>
        <v>87.755905511811022</v>
      </c>
      <c r="O27" s="809"/>
      <c r="P27" s="5"/>
      <c r="Q27" s="5"/>
      <c r="R27" s="5"/>
      <c r="S27" s="5"/>
      <c r="T27" s="5"/>
    </row>
    <row r="28" spans="1:20" x14ac:dyDescent="0.2">
      <c r="A28" s="14">
        <v>5</v>
      </c>
      <c r="B28" s="930">
        <f>'Main Dimensions Calcs'!H29</f>
        <v>0</v>
      </c>
      <c r="C28" s="809"/>
      <c r="D28" s="930">
        <f>'Main Dimensions Calcs'!I29</f>
        <v>0</v>
      </c>
      <c r="E28" s="809"/>
      <c r="F28" s="5"/>
      <c r="G28" s="5"/>
      <c r="H28" s="5"/>
      <c r="I28" s="5"/>
      <c r="J28" s="5"/>
      <c r="K28" s="14">
        <v>5</v>
      </c>
      <c r="L28" s="931">
        <f t="shared" si="0"/>
        <v>0</v>
      </c>
      <c r="M28" s="809"/>
      <c r="N28" s="931">
        <f t="shared" si="1"/>
        <v>0</v>
      </c>
      <c r="O28" s="809"/>
      <c r="P28" s="5"/>
      <c r="Q28" s="5"/>
      <c r="R28" s="5"/>
      <c r="S28" s="5"/>
      <c r="T28" s="5"/>
    </row>
    <row r="29" spans="1:20" x14ac:dyDescent="0.2">
      <c r="A29" s="14">
        <v>6</v>
      </c>
      <c r="B29" s="930">
        <f>'Main Dimensions Calcs'!H30</f>
        <v>0</v>
      </c>
      <c r="C29" s="809"/>
      <c r="D29" s="930">
        <f>'Main Dimensions Calcs'!I30</f>
        <v>0</v>
      </c>
      <c r="E29" s="809"/>
      <c r="F29" s="5"/>
      <c r="G29" s="5"/>
      <c r="H29" s="5"/>
      <c r="I29" s="5"/>
      <c r="J29" s="5"/>
      <c r="K29" s="14">
        <v>6</v>
      </c>
      <c r="L29" s="931">
        <f t="shared" si="0"/>
        <v>0</v>
      </c>
      <c r="M29" s="809"/>
      <c r="N29" s="931">
        <f t="shared" si="1"/>
        <v>0</v>
      </c>
      <c r="O29" s="809"/>
      <c r="P29" s="5"/>
      <c r="Q29" s="5"/>
      <c r="R29" s="5"/>
      <c r="S29" s="5"/>
      <c r="T29" s="5"/>
    </row>
    <row r="30" spans="1:20" x14ac:dyDescent="0.2">
      <c r="A30" s="14">
        <v>7</v>
      </c>
      <c r="B30" s="930">
        <f>'Main Dimensions Calcs'!H31</f>
        <v>0</v>
      </c>
      <c r="C30" s="809"/>
      <c r="D30" s="930">
        <f>'Main Dimensions Calcs'!I31</f>
        <v>0</v>
      </c>
      <c r="E30" s="809"/>
      <c r="F30" s="5"/>
      <c r="G30" s="5"/>
      <c r="H30" s="5"/>
      <c r="I30" s="5"/>
      <c r="J30" s="5"/>
      <c r="K30" s="14">
        <v>7</v>
      </c>
      <c r="L30" s="931">
        <f t="shared" si="0"/>
        <v>0</v>
      </c>
      <c r="M30" s="809"/>
      <c r="N30" s="931">
        <f t="shared" si="1"/>
        <v>0</v>
      </c>
      <c r="O30" s="809"/>
      <c r="P30" s="5"/>
      <c r="Q30" s="5"/>
      <c r="R30" s="5"/>
      <c r="S30" s="5"/>
      <c r="T30" s="5"/>
    </row>
    <row r="31" spans="1:20" x14ac:dyDescent="0.2">
      <c r="A31" s="14">
        <v>8</v>
      </c>
      <c r="B31" s="930">
        <f>'Main Dimensions Calcs'!H32</f>
        <v>0</v>
      </c>
      <c r="C31" s="809"/>
      <c r="D31" s="930">
        <f>'Main Dimensions Calcs'!I32</f>
        <v>0</v>
      </c>
      <c r="E31" s="809"/>
      <c r="F31" s="5"/>
      <c r="G31" s="5"/>
      <c r="H31" s="5"/>
      <c r="I31" s="5"/>
      <c r="J31" s="5"/>
      <c r="K31" s="14">
        <v>8</v>
      </c>
      <c r="L31" s="931">
        <f t="shared" si="0"/>
        <v>0</v>
      </c>
      <c r="M31" s="809"/>
      <c r="N31" s="931">
        <f t="shared" si="1"/>
        <v>0</v>
      </c>
      <c r="O31" s="809"/>
      <c r="P31" s="5"/>
      <c r="Q31" s="5"/>
      <c r="R31" s="5"/>
      <c r="S31" s="5"/>
      <c r="T31" s="5"/>
    </row>
    <row r="32" spans="1:20" x14ac:dyDescent="0.2">
      <c r="A32" s="14">
        <v>9</v>
      </c>
      <c r="B32" s="930">
        <f>'Main Dimensions Calcs'!H33</f>
        <v>0</v>
      </c>
      <c r="C32" s="809"/>
      <c r="D32" s="930">
        <f>'Main Dimensions Calcs'!I33</f>
        <v>0</v>
      </c>
      <c r="E32" s="809"/>
      <c r="F32" s="5"/>
      <c r="G32" s="5"/>
      <c r="H32" s="5"/>
      <c r="I32" s="5"/>
      <c r="J32" s="5"/>
      <c r="K32" s="14">
        <v>9</v>
      </c>
      <c r="L32" s="931">
        <f t="shared" si="0"/>
        <v>0</v>
      </c>
      <c r="M32" s="809"/>
      <c r="N32" s="931">
        <f t="shared" si="1"/>
        <v>0</v>
      </c>
      <c r="O32" s="809"/>
      <c r="P32" s="5"/>
      <c r="Q32" s="5"/>
      <c r="R32" s="5"/>
      <c r="S32" s="5"/>
      <c r="T32" s="5"/>
    </row>
    <row r="33" spans="1:20" x14ac:dyDescent="0.2">
      <c r="A33" s="14">
        <v>10</v>
      </c>
      <c r="B33" s="930">
        <f>'Main Dimensions Calcs'!H34</f>
        <v>0</v>
      </c>
      <c r="C33" s="809"/>
      <c r="D33" s="930">
        <f>'Main Dimensions Calcs'!I34</f>
        <v>0</v>
      </c>
      <c r="E33" s="809"/>
      <c r="F33" s="5"/>
      <c r="G33" s="5"/>
      <c r="H33" s="5"/>
      <c r="I33" s="5"/>
      <c r="J33" s="5"/>
      <c r="K33" s="14">
        <v>10</v>
      </c>
      <c r="L33" s="931">
        <f t="shared" si="0"/>
        <v>0</v>
      </c>
      <c r="M33" s="809"/>
      <c r="N33" s="931">
        <f t="shared" si="1"/>
        <v>0</v>
      </c>
      <c r="O33" s="809"/>
      <c r="P33" s="5"/>
      <c r="Q33" s="5"/>
      <c r="R33" s="5"/>
      <c r="S33" s="5"/>
      <c r="T33" s="5"/>
    </row>
    <row r="34" spans="1:20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8" customHeight="1" x14ac:dyDescent="0.25">
      <c r="A36" s="134" t="s">
        <v>259</v>
      </c>
      <c r="B36" s="221"/>
      <c r="C36" s="222"/>
      <c r="D36" s="222"/>
      <c r="E36" s="222"/>
      <c r="F36" s="222"/>
      <c r="G36" s="222"/>
      <c r="H36" s="5"/>
      <c r="I36" s="5"/>
      <c r="J36" s="5"/>
      <c r="K36" s="134" t="s">
        <v>259</v>
      </c>
      <c r="L36" s="221"/>
      <c r="M36" s="222"/>
      <c r="N36" s="222"/>
      <c r="O36" s="222"/>
      <c r="P36" s="222"/>
      <c r="Q36" s="222"/>
      <c r="R36" s="5"/>
      <c r="S36" s="5"/>
      <c r="T36" s="5"/>
    </row>
    <row r="37" spans="1:20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">
      <c r="A38" s="5" t="s">
        <v>260</v>
      </c>
      <c r="B38" s="5"/>
      <c r="C38" s="5"/>
      <c r="D38" s="5"/>
      <c r="E38" s="5"/>
      <c r="F38" s="223">
        <f>'Main Dimensions Calcs'!D43</f>
        <v>2</v>
      </c>
      <c r="G38" s="5" t="s">
        <v>261</v>
      </c>
      <c r="H38" s="5"/>
      <c r="I38" s="5"/>
      <c r="J38" s="5"/>
      <c r="K38" s="5" t="s">
        <v>260</v>
      </c>
      <c r="L38" s="5"/>
      <c r="M38" s="5"/>
      <c r="N38" s="5"/>
      <c r="O38" s="5"/>
      <c r="P38" s="223">
        <f>F38</f>
        <v>2</v>
      </c>
      <c r="Q38" s="5" t="s">
        <v>261</v>
      </c>
      <c r="R38" s="5"/>
      <c r="S38" s="5"/>
      <c r="T38" s="5"/>
    </row>
    <row r="39" spans="1:20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8" customHeight="1" x14ac:dyDescent="0.25">
      <c r="A40" s="134" t="s">
        <v>262</v>
      </c>
      <c r="B40" s="5"/>
      <c r="C40" s="5"/>
      <c r="D40" s="5"/>
      <c r="E40" s="5"/>
      <c r="F40" s="5"/>
      <c r="G40" s="5"/>
      <c r="H40" s="5"/>
      <c r="I40" s="5"/>
      <c r="J40" s="5"/>
      <c r="K40" s="134" t="s">
        <v>262</v>
      </c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2">
      <c r="A42" s="5" t="s">
        <v>263</v>
      </c>
      <c r="B42" s="5"/>
      <c r="C42" s="5"/>
      <c r="D42" s="5"/>
      <c r="E42" s="5"/>
      <c r="F42" s="216">
        <f>'Main Dimensions Calcs'!D37</f>
        <v>32</v>
      </c>
      <c r="G42" s="5" t="s">
        <v>261</v>
      </c>
      <c r="H42" s="5"/>
      <c r="I42" s="5"/>
      <c r="J42" s="5"/>
      <c r="K42" s="5" t="s">
        <v>263</v>
      </c>
      <c r="L42" s="5"/>
      <c r="M42" s="5"/>
      <c r="N42" s="5"/>
      <c r="O42" s="5"/>
      <c r="P42" s="216">
        <f>F42</f>
        <v>32</v>
      </c>
      <c r="Q42" s="5" t="s">
        <v>261</v>
      </c>
      <c r="R42" s="5"/>
      <c r="S42" s="5"/>
      <c r="T42" s="5"/>
    </row>
    <row r="43" spans="1:20" x14ac:dyDescent="0.2">
      <c r="A43" s="5" t="s">
        <v>264</v>
      </c>
      <c r="B43" s="5"/>
      <c r="C43" s="5"/>
      <c r="D43" s="5"/>
      <c r="E43" s="5"/>
      <c r="F43" s="216">
        <v>42</v>
      </c>
      <c r="G43" s="5" t="s">
        <v>265</v>
      </c>
      <c r="H43" s="5"/>
      <c r="I43" s="5"/>
      <c r="J43" s="5"/>
      <c r="K43" s="5" t="s">
        <v>264</v>
      </c>
      <c r="L43" s="5"/>
      <c r="M43" s="5"/>
      <c r="N43" s="5"/>
      <c r="O43" s="5"/>
      <c r="P43" s="216">
        <f>F43</f>
        <v>42</v>
      </c>
      <c r="Q43" s="5" t="s">
        <v>265</v>
      </c>
      <c r="R43" s="5"/>
      <c r="S43" s="5"/>
      <c r="T43" s="5"/>
    </row>
    <row r="44" spans="1:20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3.5" customHeight="1" thickBo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7.25" customHeight="1" thickTop="1" thickBot="1" x14ac:dyDescent="0.3">
      <c r="A48" s="28"/>
      <c r="B48" s="4"/>
      <c r="C48" s="126"/>
      <c r="D48" s="913" t="str">
        <f>'Front Page'!$A$13</f>
        <v>Mechanical  Calculations</v>
      </c>
      <c r="E48" s="842"/>
      <c r="F48" s="842"/>
      <c r="G48" s="842"/>
      <c r="H48" s="842"/>
      <c r="I48" s="842"/>
      <c r="J48" s="843"/>
      <c r="K48" s="28"/>
      <c r="L48" s="4"/>
      <c r="M48" s="126"/>
      <c r="N48" s="913" t="str">
        <f>'Front Page'!$A$13</f>
        <v>Mechanical  Calculations</v>
      </c>
      <c r="O48" s="842"/>
      <c r="P48" s="842"/>
      <c r="Q48" s="842"/>
      <c r="R48" s="842"/>
      <c r="S48" s="842"/>
      <c r="T48" s="843"/>
    </row>
    <row r="49" spans="1:20" ht="16.5" customHeight="1" thickBot="1" x14ac:dyDescent="0.3">
      <c r="A49" s="6"/>
      <c r="B49" s="5"/>
      <c r="C49" s="127"/>
      <c r="D49" s="839"/>
      <c r="E49" s="831"/>
      <c r="F49" s="831"/>
      <c r="G49" s="831"/>
      <c r="H49" s="831"/>
      <c r="I49" s="831"/>
      <c r="J49" s="832"/>
      <c r="K49" s="6"/>
      <c r="L49" s="5"/>
      <c r="M49" s="127"/>
      <c r="N49" s="839"/>
      <c r="O49" s="831"/>
      <c r="P49" s="831"/>
      <c r="Q49" s="831"/>
      <c r="R49" s="831"/>
      <c r="S49" s="831"/>
      <c r="T49" s="832"/>
    </row>
    <row r="50" spans="1:20" ht="16.5" customHeight="1" thickBot="1" x14ac:dyDescent="0.3">
      <c r="A50" s="8"/>
      <c r="B50" s="9"/>
      <c r="C50" s="128"/>
      <c r="D50" s="839" t="s">
        <v>243</v>
      </c>
      <c r="E50" s="831"/>
      <c r="F50" s="831"/>
      <c r="G50" s="831"/>
      <c r="H50" s="831"/>
      <c r="I50" s="831"/>
      <c r="J50" s="832"/>
      <c r="K50" s="8"/>
      <c r="L50" s="9"/>
      <c r="M50" s="128"/>
      <c r="N50" s="839" t="s">
        <v>243</v>
      </c>
      <c r="O50" s="831"/>
      <c r="P50" s="831"/>
      <c r="Q50" s="831"/>
      <c r="R50" s="831"/>
      <c r="S50" s="831"/>
      <c r="T50" s="832"/>
    </row>
    <row r="51" spans="1:20" ht="15.75" customHeight="1" thickBot="1" x14ac:dyDescent="0.3">
      <c r="A51" s="873"/>
      <c r="B51" s="848"/>
      <c r="C51" s="865"/>
      <c r="D51" s="915" t="str">
        <f>'Front Page'!$D$4</f>
        <v>Doc Nº</v>
      </c>
      <c r="E51" s="831"/>
      <c r="F51" s="832"/>
      <c r="G51" s="846"/>
      <c r="H51" s="832"/>
      <c r="I51" s="846"/>
      <c r="J51" s="832"/>
      <c r="K51" s="873"/>
      <c r="L51" s="848"/>
      <c r="M51" s="865"/>
      <c r="N51" s="915" t="str">
        <f>'Front Page'!$D$4</f>
        <v>Doc Nº</v>
      </c>
      <c r="O51" s="831"/>
      <c r="P51" s="832"/>
      <c r="Q51" s="846"/>
      <c r="R51" s="832"/>
      <c r="S51" s="846"/>
      <c r="T51" s="832"/>
    </row>
    <row r="52" spans="1:20" ht="15.75" customHeight="1" thickBot="1" x14ac:dyDescent="0.3">
      <c r="A52" s="860"/>
      <c r="B52" s="851"/>
      <c r="C52" s="861"/>
      <c r="D52" s="914" t="str">
        <f>'Front Page'!$D$5</f>
        <v>Project</v>
      </c>
      <c r="E52" s="834"/>
      <c r="F52" s="835"/>
      <c r="G52" s="899"/>
      <c r="H52" s="835"/>
      <c r="I52" s="131" t="s">
        <v>5</v>
      </c>
      <c r="J52" s="132"/>
      <c r="K52" s="860"/>
      <c r="L52" s="851"/>
      <c r="M52" s="861"/>
      <c r="N52" s="914" t="str">
        <f>'Front Page'!$D$5</f>
        <v>Project</v>
      </c>
      <c r="O52" s="834"/>
      <c r="P52" s="835"/>
      <c r="Q52" s="899"/>
      <c r="R52" s="835"/>
      <c r="S52" s="131" t="s">
        <v>5</v>
      </c>
      <c r="T52" s="132"/>
    </row>
    <row r="53" spans="1:20" ht="13.5" customHeight="1" thickTop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25">
      <c r="A57" s="102" t="s">
        <v>266</v>
      </c>
      <c r="B57" s="5"/>
      <c r="C57" s="5"/>
      <c r="D57" s="5"/>
      <c r="E57" s="5"/>
      <c r="F57" s="5"/>
      <c r="G57" s="5"/>
      <c r="H57" s="5"/>
      <c r="I57" s="5"/>
      <c r="J57" s="5"/>
      <c r="K57" s="102" t="s">
        <v>266</v>
      </c>
      <c r="L57" s="5"/>
      <c r="M57" s="5"/>
      <c r="N57" s="5"/>
      <c r="O57" s="5"/>
      <c r="P57" s="5"/>
      <c r="Q57" s="5"/>
      <c r="R57" s="5"/>
      <c r="S57" s="5"/>
      <c r="T57" s="5"/>
    </row>
    <row r="58" spans="1:2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4.25" customHeight="1" x14ac:dyDescent="0.2">
      <c r="A60" s="64" t="s">
        <v>246</v>
      </c>
      <c r="B60" s="215"/>
      <c r="C60" s="215"/>
      <c r="D60" s="5"/>
      <c r="E60" s="5"/>
      <c r="F60" s="216">
        <f>'Main Dimensions Calcs'!D53</f>
        <v>20600</v>
      </c>
      <c r="G60" s="5" t="s">
        <v>247</v>
      </c>
      <c r="H60" s="5"/>
      <c r="I60" s="5"/>
      <c r="J60" s="5"/>
      <c r="K60" s="64" t="s">
        <v>246</v>
      </c>
      <c r="L60" s="215"/>
      <c r="M60" s="215"/>
      <c r="N60" s="5"/>
      <c r="O60" s="5"/>
      <c r="P60" s="217">
        <f>F60/25.4</f>
        <v>811.02362204724409</v>
      </c>
      <c r="Q60" s="5" t="s">
        <v>248</v>
      </c>
      <c r="R60" s="5"/>
      <c r="S60" s="5"/>
      <c r="T60" s="5"/>
    </row>
    <row r="61" spans="1:20" x14ac:dyDescent="0.2">
      <c r="A61" s="64" t="s">
        <v>249</v>
      </c>
      <c r="B61" s="5"/>
      <c r="C61" s="5"/>
      <c r="D61" s="5"/>
      <c r="E61" s="5"/>
      <c r="F61" s="216">
        <f>+'Main Dimensions Calcs'!D50</f>
        <v>7200</v>
      </c>
      <c r="G61" s="64" t="s">
        <v>247</v>
      </c>
      <c r="H61" s="5"/>
      <c r="I61" s="5"/>
      <c r="J61" s="5"/>
      <c r="K61" s="64" t="s">
        <v>249</v>
      </c>
      <c r="L61" s="5"/>
      <c r="M61" s="5"/>
      <c r="N61" s="5"/>
      <c r="O61" s="5"/>
      <c r="P61" s="217">
        <f>F61/25.4</f>
        <v>283.46456692913387</v>
      </c>
      <c r="Q61" s="64" t="s">
        <v>248</v>
      </c>
      <c r="R61" s="5"/>
      <c r="S61" s="5"/>
      <c r="T61" s="5"/>
    </row>
    <row r="62" spans="1:20" ht="14.25" customHeight="1" x14ac:dyDescent="0.2">
      <c r="A62" s="64" t="s">
        <v>250</v>
      </c>
      <c r="B62" s="215"/>
      <c r="C62" s="215"/>
      <c r="D62" s="5"/>
      <c r="E62" s="5"/>
      <c r="F62" s="216">
        <f>'Main Dimensions Calcs'!D54</f>
        <v>18000</v>
      </c>
      <c r="G62" s="5" t="s">
        <v>247</v>
      </c>
      <c r="H62" s="5"/>
      <c r="I62" s="5"/>
      <c r="J62" s="5"/>
      <c r="K62" s="64" t="s">
        <v>250</v>
      </c>
      <c r="L62" s="215"/>
      <c r="M62" s="215"/>
      <c r="N62" s="5"/>
      <c r="O62" s="5"/>
      <c r="P62" s="217">
        <f>F62/25.4</f>
        <v>708.66141732283472</v>
      </c>
      <c r="Q62" s="5" t="s">
        <v>248</v>
      </c>
      <c r="R62" s="5"/>
      <c r="S62" s="5"/>
      <c r="T62" s="5"/>
    </row>
    <row r="63" spans="1:20" ht="14.25" customHeight="1" x14ac:dyDescent="0.2">
      <c r="A63" s="64" t="s">
        <v>267</v>
      </c>
      <c r="B63" s="215"/>
      <c r="C63" s="215"/>
      <c r="D63" s="5"/>
      <c r="E63" s="5"/>
      <c r="F63" s="216">
        <f>'Main Dimensions Calcs'!D55</f>
        <v>10</v>
      </c>
      <c r="G63" s="5" t="s">
        <v>247</v>
      </c>
      <c r="H63" s="5"/>
      <c r="I63" s="5"/>
      <c r="J63" s="5"/>
      <c r="K63" s="64" t="s">
        <v>267</v>
      </c>
      <c r="L63" s="215"/>
      <c r="M63" s="215"/>
      <c r="N63" s="5"/>
      <c r="O63" s="5"/>
      <c r="P63" s="224">
        <f>F63/25.4</f>
        <v>0.39370078740157483</v>
      </c>
      <c r="Q63" s="5" t="s">
        <v>248</v>
      </c>
      <c r="R63" s="5"/>
      <c r="S63" s="5"/>
      <c r="T63" s="5"/>
    </row>
    <row r="64" spans="1:20" ht="14.25" customHeight="1" x14ac:dyDescent="0.2">
      <c r="A64" s="64" t="s">
        <v>268</v>
      </c>
      <c r="B64" s="215"/>
      <c r="C64" s="215"/>
      <c r="D64" s="5"/>
      <c r="E64" s="5"/>
      <c r="F64" s="216">
        <f>'Main Dimensions Calcs'!D56</f>
        <v>12</v>
      </c>
      <c r="G64" s="5" t="s">
        <v>247</v>
      </c>
      <c r="H64" s="5"/>
      <c r="I64" s="5"/>
      <c r="J64" s="5"/>
      <c r="K64" s="64" t="s">
        <v>268</v>
      </c>
      <c r="L64" s="5"/>
      <c r="M64" s="5"/>
      <c r="N64" s="5"/>
      <c r="O64" s="5"/>
      <c r="P64" s="224">
        <f>F64/25.4</f>
        <v>0.47244094488188981</v>
      </c>
      <c r="Q64" s="5" t="s">
        <v>248</v>
      </c>
      <c r="R64" s="5"/>
      <c r="S64" s="5"/>
      <c r="T64" s="5"/>
    </row>
    <row r="65" spans="1:20" ht="18" customHeight="1" x14ac:dyDescent="0.25">
      <c r="A65" s="134" t="s">
        <v>269</v>
      </c>
      <c r="B65" s="5"/>
      <c r="C65" s="5"/>
      <c r="D65" s="5"/>
      <c r="E65" s="5"/>
      <c r="F65" s="5"/>
      <c r="G65" s="5"/>
      <c r="H65" s="5"/>
      <c r="I65" s="5"/>
      <c r="J65" s="5"/>
      <c r="K65" s="134" t="s">
        <v>269</v>
      </c>
      <c r="L65" s="5"/>
      <c r="M65" s="5"/>
      <c r="N65" s="5"/>
      <c r="O65" s="5"/>
      <c r="P65" s="5"/>
      <c r="Q65" s="5"/>
      <c r="R65" s="5"/>
      <c r="S65" s="5"/>
      <c r="T65" s="5"/>
    </row>
    <row r="66" spans="1:20" ht="18" customHeight="1" x14ac:dyDescent="0.25">
      <c r="A66" s="134"/>
      <c r="B66" s="5"/>
      <c r="C66" s="5"/>
      <c r="D66" s="5"/>
      <c r="E66" s="5"/>
      <c r="F66" s="5"/>
      <c r="G66" s="5"/>
      <c r="H66" s="5"/>
      <c r="I66" s="5"/>
      <c r="J66" s="5"/>
      <c r="K66" s="134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2">
      <c r="A67" s="14" t="s">
        <v>253</v>
      </c>
      <c r="B67" s="932" t="s">
        <v>254</v>
      </c>
      <c r="C67" s="809"/>
      <c r="D67" s="932" t="s">
        <v>255</v>
      </c>
      <c r="E67" s="809"/>
      <c r="F67" s="5"/>
      <c r="G67" s="5"/>
      <c r="H67" s="5"/>
      <c r="I67" s="5"/>
      <c r="J67" s="5"/>
      <c r="K67" s="14" t="s">
        <v>253</v>
      </c>
      <c r="L67" s="932" t="s">
        <v>254</v>
      </c>
      <c r="M67" s="809"/>
      <c r="N67" s="932" t="s">
        <v>255</v>
      </c>
      <c r="O67" s="809"/>
      <c r="P67" s="5"/>
      <c r="Q67" s="5"/>
      <c r="R67" s="5"/>
      <c r="S67" s="5"/>
      <c r="T67" s="5"/>
    </row>
    <row r="68" spans="1:20" ht="24" customHeight="1" x14ac:dyDescent="0.2">
      <c r="A68" s="218" t="s">
        <v>256</v>
      </c>
      <c r="B68" s="932" t="s">
        <v>257</v>
      </c>
      <c r="C68" s="809"/>
      <c r="D68" s="932" t="s">
        <v>270</v>
      </c>
      <c r="E68" s="809"/>
      <c r="F68" s="5"/>
      <c r="G68" s="5"/>
      <c r="H68" s="5"/>
      <c r="I68" s="5"/>
      <c r="J68" s="5"/>
      <c r="K68" s="218" t="s">
        <v>256</v>
      </c>
      <c r="L68" s="932" t="s">
        <v>257</v>
      </c>
      <c r="M68" s="809"/>
      <c r="N68" s="932" t="s">
        <v>270</v>
      </c>
      <c r="O68" s="809"/>
      <c r="P68" s="5"/>
      <c r="Q68" s="5"/>
      <c r="R68" s="5"/>
      <c r="S68" s="5"/>
      <c r="T68" s="5"/>
    </row>
    <row r="69" spans="1:20" x14ac:dyDescent="0.2">
      <c r="A69" s="5"/>
      <c r="B69" s="808" t="s">
        <v>247</v>
      </c>
      <c r="C69" s="809"/>
      <c r="D69" s="808" t="s">
        <v>247</v>
      </c>
      <c r="E69" s="809"/>
      <c r="F69" s="5"/>
      <c r="G69" s="5"/>
      <c r="H69" s="5"/>
      <c r="I69" s="5"/>
      <c r="J69" s="5"/>
      <c r="K69" s="5"/>
      <c r="L69" s="808" t="s">
        <v>248</v>
      </c>
      <c r="M69" s="809"/>
      <c r="N69" s="808" t="s">
        <v>248</v>
      </c>
      <c r="O69" s="809"/>
      <c r="P69" s="5"/>
      <c r="Q69" s="5"/>
      <c r="R69" s="5"/>
      <c r="S69" s="5"/>
      <c r="T69" s="5"/>
    </row>
    <row r="70" spans="1:20" x14ac:dyDescent="0.2">
      <c r="A70" s="14">
        <v>1</v>
      </c>
      <c r="B70" s="930">
        <f>'Main Dimensions Calcs'!H7</f>
        <v>8</v>
      </c>
      <c r="C70" s="809"/>
      <c r="D70" s="930">
        <f>'Main Dimensions Calcs'!I7</f>
        <v>2000</v>
      </c>
      <c r="E70" s="809"/>
      <c r="F70" s="5"/>
      <c r="G70" s="5"/>
      <c r="H70" s="5"/>
      <c r="I70" s="5"/>
      <c r="J70" s="5"/>
      <c r="K70" s="14">
        <v>1</v>
      </c>
      <c r="L70" s="931">
        <f t="shared" ref="L70:L79" si="2">B70/25.4</f>
        <v>0.31496062992125984</v>
      </c>
      <c r="M70" s="809"/>
      <c r="N70" s="931">
        <f t="shared" ref="N70:N79" si="3">D70/25.4</f>
        <v>78.740157480314963</v>
      </c>
      <c r="O70" s="809"/>
      <c r="P70" s="5"/>
      <c r="Q70" s="5"/>
      <c r="R70" s="5"/>
      <c r="S70" s="5"/>
      <c r="T70" s="5"/>
    </row>
    <row r="71" spans="1:20" x14ac:dyDescent="0.2">
      <c r="A71" s="14">
        <v>2</v>
      </c>
      <c r="B71" s="930">
        <f>'Main Dimensions Calcs'!H8</f>
        <v>8</v>
      </c>
      <c r="C71" s="809"/>
      <c r="D71" s="930">
        <f>'Main Dimensions Calcs'!I8</f>
        <v>2000</v>
      </c>
      <c r="E71" s="809"/>
      <c r="F71" s="5"/>
      <c r="G71" s="5"/>
      <c r="H71" s="5"/>
      <c r="I71" s="5"/>
      <c r="J71" s="5"/>
      <c r="K71" s="14">
        <v>2</v>
      </c>
      <c r="L71" s="931">
        <f t="shared" si="2"/>
        <v>0.31496062992125984</v>
      </c>
      <c r="M71" s="809"/>
      <c r="N71" s="931">
        <f t="shared" si="3"/>
        <v>78.740157480314963</v>
      </c>
      <c r="O71" s="809"/>
      <c r="P71" s="5"/>
      <c r="Q71" s="5"/>
      <c r="R71" s="5"/>
      <c r="S71" s="5"/>
      <c r="T71" s="5"/>
    </row>
    <row r="72" spans="1:20" x14ac:dyDescent="0.2">
      <c r="A72" s="14">
        <v>3</v>
      </c>
      <c r="B72" s="930">
        <f>'Main Dimensions Calcs'!H9</f>
        <v>8</v>
      </c>
      <c r="C72" s="809"/>
      <c r="D72" s="930">
        <f>'Main Dimensions Calcs'!I9</f>
        <v>2000</v>
      </c>
      <c r="E72" s="809"/>
      <c r="F72" s="5"/>
      <c r="G72" s="5"/>
      <c r="H72" s="5"/>
      <c r="I72" s="5"/>
      <c r="J72" s="5"/>
      <c r="K72" s="14">
        <v>3</v>
      </c>
      <c r="L72" s="931">
        <f t="shared" si="2"/>
        <v>0.31496062992125984</v>
      </c>
      <c r="M72" s="809"/>
      <c r="N72" s="931">
        <f t="shared" si="3"/>
        <v>78.740157480314963</v>
      </c>
      <c r="O72" s="809"/>
      <c r="P72" s="5"/>
      <c r="Q72" s="5"/>
      <c r="R72" s="5"/>
      <c r="S72" s="5"/>
      <c r="T72" s="5"/>
    </row>
    <row r="73" spans="1:20" x14ac:dyDescent="0.2">
      <c r="A73" s="14">
        <v>4</v>
      </c>
      <c r="B73" s="930">
        <f>'Main Dimensions Calcs'!H10</f>
        <v>8</v>
      </c>
      <c r="C73" s="809"/>
      <c r="D73" s="930">
        <f>'Main Dimensions Calcs'!I10</f>
        <v>1500</v>
      </c>
      <c r="E73" s="809"/>
      <c r="F73" s="5"/>
      <c r="G73" s="5"/>
      <c r="H73" s="5"/>
      <c r="I73" s="5"/>
      <c r="J73" s="5"/>
      <c r="K73" s="14">
        <v>4</v>
      </c>
      <c r="L73" s="931">
        <f t="shared" si="2"/>
        <v>0.31496062992125984</v>
      </c>
      <c r="M73" s="809"/>
      <c r="N73" s="931">
        <f t="shared" si="3"/>
        <v>59.055118110236222</v>
      </c>
      <c r="O73" s="809"/>
      <c r="P73" s="5"/>
      <c r="Q73" s="5"/>
      <c r="R73" s="5"/>
      <c r="S73" s="5"/>
      <c r="T73" s="5"/>
    </row>
    <row r="74" spans="1:20" x14ac:dyDescent="0.2">
      <c r="A74" s="14">
        <v>5</v>
      </c>
      <c r="B74" s="930">
        <f>'Main Dimensions Calcs'!H11</f>
        <v>0</v>
      </c>
      <c r="C74" s="809"/>
      <c r="D74" s="930">
        <f>'Main Dimensions Calcs'!I11</f>
        <v>0</v>
      </c>
      <c r="E74" s="809"/>
      <c r="F74" s="5"/>
      <c r="G74" s="5"/>
      <c r="H74" s="5"/>
      <c r="I74" s="5"/>
      <c r="J74" s="5"/>
      <c r="K74" s="14">
        <v>5</v>
      </c>
      <c r="L74" s="931">
        <f t="shared" si="2"/>
        <v>0</v>
      </c>
      <c r="M74" s="809"/>
      <c r="N74" s="931">
        <f t="shared" si="3"/>
        <v>0</v>
      </c>
      <c r="O74" s="809"/>
      <c r="P74" s="5"/>
      <c r="Q74" s="5"/>
      <c r="R74" s="5"/>
      <c r="S74" s="5"/>
      <c r="T74" s="5"/>
    </row>
    <row r="75" spans="1:20" x14ac:dyDescent="0.2">
      <c r="A75" s="14">
        <v>6</v>
      </c>
      <c r="B75" s="930">
        <f>'Main Dimensions Calcs'!H12</f>
        <v>0</v>
      </c>
      <c r="C75" s="809"/>
      <c r="D75" s="930">
        <f>'Main Dimensions Calcs'!I12</f>
        <v>0</v>
      </c>
      <c r="E75" s="809"/>
      <c r="F75" s="5"/>
      <c r="G75" s="5"/>
      <c r="H75" s="5"/>
      <c r="I75" s="5"/>
      <c r="J75" s="5"/>
      <c r="K75" s="14">
        <v>6</v>
      </c>
      <c r="L75" s="931">
        <f t="shared" si="2"/>
        <v>0</v>
      </c>
      <c r="M75" s="809"/>
      <c r="N75" s="931">
        <f t="shared" si="3"/>
        <v>0</v>
      </c>
      <c r="O75" s="809"/>
      <c r="P75" s="5"/>
      <c r="Q75" s="5"/>
      <c r="R75" s="5"/>
      <c r="S75" s="5"/>
      <c r="T75" s="5"/>
    </row>
    <row r="76" spans="1:20" x14ac:dyDescent="0.2">
      <c r="A76" s="14">
        <v>7</v>
      </c>
      <c r="B76" s="930">
        <f>'Main Dimensions Calcs'!H13</f>
        <v>0</v>
      </c>
      <c r="C76" s="809"/>
      <c r="D76" s="930">
        <f>'Main Dimensions Calcs'!I13</f>
        <v>0</v>
      </c>
      <c r="E76" s="809"/>
      <c r="F76" s="5"/>
      <c r="G76" s="5"/>
      <c r="H76" s="5"/>
      <c r="I76" s="5"/>
      <c r="J76" s="5"/>
      <c r="K76" s="14">
        <v>7</v>
      </c>
      <c r="L76" s="931">
        <f t="shared" si="2"/>
        <v>0</v>
      </c>
      <c r="M76" s="809"/>
      <c r="N76" s="931">
        <f t="shared" si="3"/>
        <v>0</v>
      </c>
      <c r="O76" s="809"/>
      <c r="P76" s="5"/>
      <c r="Q76" s="5"/>
      <c r="R76" s="5"/>
      <c r="S76" s="5"/>
      <c r="T76" s="5"/>
    </row>
    <row r="77" spans="1:20" x14ac:dyDescent="0.2">
      <c r="A77" s="14">
        <v>8</v>
      </c>
      <c r="B77" s="930">
        <f>'Main Dimensions Calcs'!H14</f>
        <v>0</v>
      </c>
      <c r="C77" s="809"/>
      <c r="D77" s="930">
        <f>'Main Dimensions Calcs'!J16</f>
        <v>0</v>
      </c>
      <c r="E77" s="809"/>
      <c r="F77" s="5"/>
      <c r="G77" s="5"/>
      <c r="H77" s="5"/>
      <c r="I77" s="5"/>
      <c r="J77" s="5"/>
      <c r="K77" s="14">
        <v>8</v>
      </c>
      <c r="L77" s="931">
        <f t="shared" si="2"/>
        <v>0</v>
      </c>
      <c r="M77" s="809"/>
      <c r="N77" s="931">
        <f t="shared" si="3"/>
        <v>0</v>
      </c>
      <c r="O77" s="809"/>
      <c r="P77" s="5"/>
      <c r="Q77" s="5"/>
      <c r="R77" s="5"/>
      <c r="S77" s="5"/>
      <c r="T77" s="5"/>
    </row>
    <row r="78" spans="1:20" x14ac:dyDescent="0.2">
      <c r="A78" s="14">
        <v>9</v>
      </c>
      <c r="B78" s="930">
        <f>'Main Dimensions Calcs'!H15</f>
        <v>0</v>
      </c>
      <c r="C78" s="809"/>
      <c r="D78" s="930">
        <f>'Main Dimensions Calcs'!I15</f>
        <v>0</v>
      </c>
      <c r="E78" s="809"/>
      <c r="F78" s="5"/>
      <c r="G78" s="5"/>
      <c r="H78" s="5"/>
      <c r="I78" s="5"/>
      <c r="J78" s="5"/>
      <c r="K78" s="14">
        <v>9</v>
      </c>
      <c r="L78" s="931">
        <f t="shared" si="2"/>
        <v>0</v>
      </c>
      <c r="M78" s="809"/>
      <c r="N78" s="931">
        <f t="shared" si="3"/>
        <v>0</v>
      </c>
      <c r="O78" s="809"/>
      <c r="P78" s="5"/>
      <c r="Q78" s="5"/>
      <c r="R78" s="5"/>
      <c r="S78" s="5"/>
      <c r="T78" s="5"/>
    </row>
    <row r="79" spans="1:20" x14ac:dyDescent="0.2">
      <c r="A79" s="14">
        <v>10</v>
      </c>
      <c r="B79" s="930">
        <f>'Main Dimensions Calcs'!H16</f>
        <v>0</v>
      </c>
      <c r="C79" s="809"/>
      <c r="D79" s="930">
        <f>'Main Dimensions Calcs'!I16</f>
        <v>0</v>
      </c>
      <c r="E79" s="809"/>
      <c r="F79" s="5"/>
      <c r="G79" s="5"/>
      <c r="H79" s="5"/>
      <c r="I79" s="5"/>
      <c r="J79" s="5"/>
      <c r="K79" s="14">
        <v>10</v>
      </c>
      <c r="L79" s="931">
        <f t="shared" si="2"/>
        <v>0</v>
      </c>
      <c r="M79" s="809"/>
      <c r="N79" s="931">
        <f t="shared" si="3"/>
        <v>0</v>
      </c>
      <c r="O79" s="809"/>
      <c r="P79" s="5"/>
      <c r="Q79" s="5"/>
      <c r="R79" s="5"/>
      <c r="S79" s="5"/>
      <c r="T79" s="5"/>
    </row>
    <row r="80" spans="1:20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8" customHeight="1" x14ac:dyDescent="0.25">
      <c r="A82" s="134" t="s">
        <v>271</v>
      </c>
      <c r="B82" s="221"/>
      <c r="C82" s="222"/>
      <c r="D82" s="222"/>
      <c r="E82" s="222"/>
      <c r="F82" s="222"/>
      <c r="G82" s="222"/>
      <c r="H82" s="5"/>
      <c r="I82" s="5"/>
      <c r="J82" s="5"/>
      <c r="K82" s="134" t="s">
        <v>271</v>
      </c>
      <c r="L82" s="221"/>
      <c r="M82" s="222"/>
      <c r="N82" s="222"/>
      <c r="O82" s="222"/>
      <c r="P82" s="222"/>
      <c r="Q82" s="222"/>
      <c r="R82" s="5"/>
      <c r="S82" s="5"/>
      <c r="T82" s="5"/>
    </row>
    <row r="83" spans="1:20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2">
      <c r="A84" s="5" t="s">
        <v>260</v>
      </c>
      <c r="B84" s="5"/>
      <c r="C84" s="5"/>
      <c r="D84" s="5"/>
      <c r="E84" s="5"/>
      <c r="F84" s="223">
        <f>'Main Dimensions Calcs'!D68</f>
        <v>6</v>
      </c>
      <c r="G84" s="5" t="s">
        <v>261</v>
      </c>
      <c r="H84" s="5"/>
      <c r="I84" s="5"/>
      <c r="J84" s="5"/>
      <c r="K84" s="5" t="s">
        <v>260</v>
      </c>
      <c r="L84" s="5"/>
      <c r="M84" s="5"/>
      <c r="N84" s="5"/>
      <c r="O84" s="5"/>
      <c r="P84" s="223">
        <f>F84</f>
        <v>6</v>
      </c>
      <c r="Q84" s="5" t="s">
        <v>261</v>
      </c>
      <c r="R84" s="5"/>
      <c r="S84" s="5"/>
      <c r="T84" s="5"/>
    </row>
    <row r="85" spans="1:20" x14ac:dyDescent="0.2">
      <c r="A85" s="5" t="s">
        <v>272</v>
      </c>
      <c r="B85" s="5"/>
      <c r="C85" s="5"/>
      <c r="D85" s="5"/>
      <c r="E85" s="5"/>
      <c r="F85" s="223">
        <f>'Main Dimensions Calcs'!D72</f>
        <v>120</v>
      </c>
      <c r="G85" s="5" t="s">
        <v>247</v>
      </c>
      <c r="H85" s="5"/>
      <c r="I85" s="5"/>
      <c r="J85" s="5"/>
      <c r="K85" s="5" t="s">
        <v>272</v>
      </c>
      <c r="L85" s="5"/>
      <c r="M85" s="5"/>
      <c r="N85" s="5"/>
      <c r="O85" s="5"/>
      <c r="P85" s="225">
        <f>F85/25.4</f>
        <v>4.7244094488188981</v>
      </c>
      <c r="Q85" s="5" t="s">
        <v>248</v>
      </c>
      <c r="R85" s="5"/>
      <c r="S85" s="5"/>
      <c r="T85" s="5"/>
    </row>
    <row r="86" spans="1:20" x14ac:dyDescent="0.2">
      <c r="A86" s="5" t="s">
        <v>273</v>
      </c>
      <c r="B86" s="5"/>
      <c r="C86" s="5"/>
      <c r="D86" s="5"/>
      <c r="E86" s="5"/>
      <c r="F86" s="223">
        <f>'Main Dimensions Calcs'!D73</f>
        <v>10</v>
      </c>
      <c r="G86" s="5" t="s">
        <v>247</v>
      </c>
      <c r="H86" s="5"/>
      <c r="I86" s="5"/>
      <c r="J86" s="5"/>
      <c r="K86" s="5" t="s">
        <v>273</v>
      </c>
      <c r="L86" s="5"/>
      <c r="M86" s="5"/>
      <c r="N86" s="5"/>
      <c r="O86" s="5"/>
      <c r="P86" s="225">
        <f>F86/25.4</f>
        <v>0.39370078740157483</v>
      </c>
      <c r="Q86" s="5" t="s">
        <v>248</v>
      </c>
      <c r="R86" s="5"/>
      <c r="S86" s="5"/>
      <c r="T86" s="5"/>
    </row>
    <row r="87" spans="1:20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8" customHeight="1" x14ac:dyDescent="0.25">
      <c r="A89" s="134" t="s">
        <v>262</v>
      </c>
      <c r="B89" s="5"/>
      <c r="C89" s="5"/>
      <c r="D89" s="5"/>
      <c r="E89" s="5"/>
      <c r="F89" s="5"/>
      <c r="G89" s="5"/>
      <c r="H89" s="5"/>
      <c r="I89" s="5"/>
      <c r="J89" s="5"/>
      <c r="K89" s="134" t="s">
        <v>262</v>
      </c>
      <c r="L89" s="5"/>
      <c r="M89" s="5"/>
      <c r="N89" s="5"/>
      <c r="O89" s="5"/>
      <c r="P89" s="5"/>
      <c r="Q89" s="5"/>
      <c r="R89" s="5"/>
      <c r="S89" s="5"/>
      <c r="T89" s="5"/>
    </row>
    <row r="90" spans="1:20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x14ac:dyDescent="0.2">
      <c r="A91" s="5" t="s">
        <v>274</v>
      </c>
      <c r="B91" s="5"/>
      <c r="C91" s="5"/>
      <c r="D91" s="5"/>
      <c r="E91" s="5"/>
      <c r="F91" s="216">
        <f>'Main Dimensions Calcs'!D61</f>
        <v>60</v>
      </c>
      <c r="G91" s="5" t="s">
        <v>261</v>
      </c>
      <c r="H91" s="5"/>
      <c r="I91" s="5"/>
      <c r="J91" s="5"/>
      <c r="K91" s="5" t="s">
        <v>274</v>
      </c>
      <c r="L91" s="5"/>
      <c r="M91" s="5"/>
      <c r="N91" s="5"/>
      <c r="O91" s="5"/>
      <c r="P91" s="216">
        <f>F91</f>
        <v>60</v>
      </c>
      <c r="Q91" s="5" t="s">
        <v>261</v>
      </c>
      <c r="R91" s="5"/>
      <c r="S91" s="5"/>
      <c r="T91" s="5"/>
    </row>
    <row r="92" spans="1:20" x14ac:dyDescent="0.2">
      <c r="A92" s="5" t="s">
        <v>275</v>
      </c>
      <c r="B92" s="5"/>
      <c r="C92" s="5"/>
      <c r="D92" s="5"/>
      <c r="E92" s="5"/>
      <c r="F92" s="216">
        <f>+'Main Dimensions Calcs'!D64</f>
        <v>120</v>
      </c>
      <c r="G92" s="5" t="s">
        <v>247</v>
      </c>
      <c r="H92" s="5"/>
      <c r="I92" s="5"/>
      <c r="J92" s="5"/>
      <c r="K92" s="5" t="s">
        <v>275</v>
      </c>
      <c r="L92" s="5"/>
      <c r="M92" s="5"/>
      <c r="N92" s="5"/>
      <c r="O92" s="5"/>
      <c r="P92" s="217">
        <f>F92/25.4</f>
        <v>4.7244094488188981</v>
      </c>
      <c r="Q92" s="5" t="s">
        <v>248</v>
      </c>
      <c r="R92" s="5"/>
      <c r="S92" s="5"/>
      <c r="T92" s="5"/>
    </row>
    <row r="93" spans="1:20" x14ac:dyDescent="0.2">
      <c r="A93" s="5" t="s">
        <v>273</v>
      </c>
      <c r="B93" s="5"/>
      <c r="C93" s="5"/>
      <c r="D93" s="5"/>
      <c r="E93" s="5"/>
      <c r="F93" s="216">
        <f>'Main Dimensions Calcs'!E64</f>
        <v>16</v>
      </c>
      <c r="G93" s="5" t="s">
        <v>247</v>
      </c>
      <c r="H93" s="5"/>
      <c r="I93" s="5"/>
      <c r="J93" s="5"/>
      <c r="K93" s="5" t="s">
        <v>273</v>
      </c>
      <c r="L93" s="5"/>
      <c r="M93" s="5"/>
      <c r="N93" s="5"/>
      <c r="O93" s="5"/>
      <c r="P93" s="217">
        <f>F93/25.4</f>
        <v>0.62992125984251968</v>
      </c>
      <c r="Q93" s="5" t="s">
        <v>248</v>
      </c>
      <c r="R93" s="5"/>
      <c r="S93" s="5"/>
      <c r="T93" s="5"/>
    </row>
    <row r="94" spans="1:20" x14ac:dyDescent="0.2">
      <c r="A94" s="69" t="s">
        <v>276</v>
      </c>
      <c r="B94" s="5"/>
      <c r="C94" s="5"/>
      <c r="D94" s="5"/>
      <c r="E94" s="5"/>
      <c r="F94" s="216">
        <f>+'Main Dimensions Calcs'!C65</f>
        <v>15</v>
      </c>
      <c r="G94" s="64" t="s">
        <v>247</v>
      </c>
      <c r="H94" s="5"/>
      <c r="I94" s="5"/>
      <c r="J94" s="5"/>
      <c r="K94" s="69" t="s">
        <v>276</v>
      </c>
      <c r="L94" s="5"/>
      <c r="M94" s="5"/>
      <c r="N94" s="5"/>
      <c r="O94" s="5"/>
      <c r="P94" s="217">
        <f>F94/25.4</f>
        <v>0.59055118110236227</v>
      </c>
      <c r="Q94" s="64" t="s">
        <v>247</v>
      </c>
      <c r="R94" s="5"/>
      <c r="S94" s="5"/>
      <c r="T94" s="5"/>
    </row>
    <row r="95" spans="1:20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x14ac:dyDescent="0.2">
      <c r="A101" s="5"/>
      <c r="B101" s="226"/>
      <c r="C101" s="5"/>
      <c r="D101" s="5"/>
      <c r="E101" s="5"/>
      <c r="F101" s="5"/>
      <c r="G101" s="5"/>
      <c r="H101" s="5"/>
      <c r="I101" s="5"/>
      <c r="J101" s="5"/>
      <c r="K101" s="5"/>
      <c r="L101" s="226"/>
      <c r="M101" s="5"/>
      <c r="N101" s="5"/>
      <c r="O101" s="5"/>
      <c r="P101" s="5"/>
      <c r="Q101" s="5"/>
      <c r="R101" s="5"/>
      <c r="S101" s="5"/>
      <c r="T101" s="5"/>
    </row>
  </sheetData>
  <mergeCells count="146">
    <mergeCell ref="N79:O79"/>
    <mergeCell ref="D23:E23"/>
    <mergeCell ref="D22:E22"/>
    <mergeCell ref="D27:E27"/>
    <mergeCell ref="D24:E24"/>
    <mergeCell ref="D25:E25"/>
    <mergeCell ref="D26:E26"/>
    <mergeCell ref="B30:C30"/>
    <mergeCell ref="D49:J49"/>
    <mergeCell ref="B70:C70"/>
    <mergeCell ref="D70:E70"/>
    <mergeCell ref="D28:E28"/>
    <mergeCell ref="D29:E29"/>
    <mergeCell ref="D30:E30"/>
    <mergeCell ref="B28:C28"/>
    <mergeCell ref="B31:C31"/>
    <mergeCell ref="A52:C52"/>
    <mergeCell ref="A51:C51"/>
    <mergeCell ref="D48:J48"/>
    <mergeCell ref="D67:E67"/>
    <mergeCell ref="B68:C68"/>
    <mergeCell ref="B24:C24"/>
    <mergeCell ref="B26:C26"/>
    <mergeCell ref="B25:C25"/>
    <mergeCell ref="B21:C21"/>
    <mergeCell ref="B22:C22"/>
    <mergeCell ref="B23:C23"/>
    <mergeCell ref="B79:C79"/>
    <mergeCell ref="D79:E79"/>
    <mergeCell ref="L79:M79"/>
    <mergeCell ref="D1:J1"/>
    <mergeCell ref="D2:J2"/>
    <mergeCell ref="D3:J3"/>
    <mergeCell ref="A4:C4"/>
    <mergeCell ref="D4:F4"/>
    <mergeCell ref="G4:H4"/>
    <mergeCell ref="I4:J4"/>
    <mergeCell ref="G5:H5"/>
    <mergeCell ref="D21:E21"/>
    <mergeCell ref="A8:J8"/>
    <mergeCell ref="A5:C5"/>
    <mergeCell ref="D5:F5"/>
    <mergeCell ref="D68:E68"/>
    <mergeCell ref="B69:C69"/>
    <mergeCell ref="D69:E69"/>
    <mergeCell ref="B67:C67"/>
    <mergeCell ref="G52:H52"/>
    <mergeCell ref="D50:J50"/>
    <mergeCell ref="G51:H51"/>
    <mergeCell ref="I51:J51"/>
    <mergeCell ref="D52:F52"/>
    <mergeCell ref="D51:F51"/>
    <mergeCell ref="N1:T1"/>
    <mergeCell ref="N2:T2"/>
    <mergeCell ref="N3:T3"/>
    <mergeCell ref="K4:M4"/>
    <mergeCell ref="N4:P4"/>
    <mergeCell ref="Q4:R4"/>
    <mergeCell ref="S4:T4"/>
    <mergeCell ref="K5:M5"/>
    <mergeCell ref="N5:P5"/>
    <mergeCell ref="Q5:R5"/>
    <mergeCell ref="K8:T8"/>
    <mergeCell ref="L21:M21"/>
    <mergeCell ref="N21:O21"/>
    <mergeCell ref="N27:O27"/>
    <mergeCell ref="K51:M51"/>
    <mergeCell ref="N51:P51"/>
    <mergeCell ref="Q51:R51"/>
    <mergeCell ref="S51:T51"/>
    <mergeCell ref="K52:M52"/>
    <mergeCell ref="N52:P52"/>
    <mergeCell ref="B77:C77"/>
    <mergeCell ref="D77:E77"/>
    <mergeCell ref="B75:C75"/>
    <mergeCell ref="D75:E75"/>
    <mergeCell ref="B76:C76"/>
    <mergeCell ref="D76:E76"/>
    <mergeCell ref="B73:C73"/>
    <mergeCell ref="D73:E73"/>
    <mergeCell ref="B74:C74"/>
    <mergeCell ref="D74:E74"/>
    <mergeCell ref="B71:C71"/>
    <mergeCell ref="D71:E71"/>
    <mergeCell ref="B72:C72"/>
    <mergeCell ref="D72:E72"/>
    <mergeCell ref="B27:C27"/>
    <mergeCell ref="D31:E31"/>
    <mergeCell ref="B29:C29"/>
    <mergeCell ref="L22:M22"/>
    <mergeCell ref="N22:O22"/>
    <mergeCell ref="L23:M23"/>
    <mergeCell ref="N23:O23"/>
    <mergeCell ref="L24:M24"/>
    <mergeCell ref="N24:O24"/>
    <mergeCell ref="L28:M28"/>
    <mergeCell ref="N28:O28"/>
    <mergeCell ref="L29:M29"/>
    <mergeCell ref="N29:O29"/>
    <mergeCell ref="L30:M30"/>
    <mergeCell ref="N30:O30"/>
    <mergeCell ref="L25:M25"/>
    <mergeCell ref="N25:O25"/>
    <mergeCell ref="L26:M26"/>
    <mergeCell ref="N26:O26"/>
    <mergeCell ref="L27:M27"/>
    <mergeCell ref="Q52:R52"/>
    <mergeCell ref="L31:M31"/>
    <mergeCell ref="N31:O31"/>
    <mergeCell ref="N48:T48"/>
    <mergeCell ref="N49:T49"/>
    <mergeCell ref="N50:T50"/>
    <mergeCell ref="L71:M71"/>
    <mergeCell ref="N71:O71"/>
    <mergeCell ref="L72:M72"/>
    <mergeCell ref="N72:O72"/>
    <mergeCell ref="L67:M67"/>
    <mergeCell ref="N67:O67"/>
    <mergeCell ref="L68:M68"/>
    <mergeCell ref="N68:O68"/>
    <mergeCell ref="L69:M69"/>
    <mergeCell ref="N69:O69"/>
    <mergeCell ref="B78:C78"/>
    <mergeCell ref="D78:E78"/>
    <mergeCell ref="L78:M78"/>
    <mergeCell ref="N78:O78"/>
    <mergeCell ref="L76:M76"/>
    <mergeCell ref="N76:O76"/>
    <mergeCell ref="L77:M77"/>
    <mergeCell ref="N77:O77"/>
    <mergeCell ref="B32:C32"/>
    <mergeCell ref="D32:E32"/>
    <mergeCell ref="B33:C33"/>
    <mergeCell ref="D33:E33"/>
    <mergeCell ref="L32:M32"/>
    <mergeCell ref="N32:O32"/>
    <mergeCell ref="L33:M33"/>
    <mergeCell ref="N33:O33"/>
    <mergeCell ref="L73:M73"/>
    <mergeCell ref="N73:O73"/>
    <mergeCell ref="L74:M74"/>
    <mergeCell ref="N74:O74"/>
    <mergeCell ref="L75:M75"/>
    <mergeCell ref="N75:O75"/>
    <mergeCell ref="L70:M70"/>
    <mergeCell ref="N70:O70"/>
  </mergeCells>
  <pageMargins left="0.74803149606299213" right="0.74803149606299213" top="0.98425196850393704" bottom="0.98425196850393704" header="0" footer="0"/>
  <pageSetup paperSize="9" scale="94" fitToHeight="0" orientation="portrait"/>
  <rowBreaks count="2" manualBreakCount="2">
    <brk id="47" max="9" man="1"/>
    <brk id="47" min="10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AK159"/>
  <sheetViews>
    <sheetView zoomScale="85" zoomScaleNormal="85" workbookViewId="0">
      <selection activeCell="H22" sqref="H22"/>
    </sheetView>
    <sheetView tabSelected="1" topLeftCell="A42" zoomScale="85" zoomScaleNormal="85" workbookViewId="1">
      <selection sqref="A1:AK5"/>
    </sheetView>
  </sheetViews>
  <sheetFormatPr defaultColWidth="11.42578125" defaultRowHeight="12.75" x14ac:dyDescent="0.2"/>
  <cols>
    <col min="2" max="2" width="16.140625" customWidth="1"/>
    <col min="3" max="3" width="13.42578125" customWidth="1"/>
    <col min="4" max="4" width="22.42578125" customWidth="1"/>
    <col min="5" max="5" width="12.42578125" bestFit="1" customWidth="1"/>
    <col min="6" max="6" width="13" customWidth="1"/>
    <col min="7" max="7" width="10" customWidth="1"/>
    <col min="14" max="14" width="15.85546875" customWidth="1"/>
  </cols>
  <sheetData>
    <row r="1" spans="1:37" ht="30" customHeight="1" thickTop="1" thickBot="1" x14ac:dyDescent="0.3">
      <c r="A1" s="28"/>
      <c r="B1" s="4"/>
      <c r="C1" s="934" t="str">
        <f>'Front Page'!$A$13</f>
        <v>Mechanical  Calculations</v>
      </c>
      <c r="D1" s="842"/>
      <c r="E1" s="842"/>
      <c r="F1" s="85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936" t="s">
        <v>277</v>
      </c>
      <c r="AA1" s="809"/>
      <c r="AB1" s="809"/>
      <c r="AC1" s="809"/>
      <c r="AD1" s="809"/>
      <c r="AE1" s="809"/>
      <c r="AF1" s="809"/>
      <c r="AG1" s="809"/>
      <c r="AH1" s="809"/>
      <c r="AI1" s="809"/>
      <c r="AJ1" s="809"/>
      <c r="AK1" s="809"/>
    </row>
    <row r="2" spans="1:37" ht="16.5" customHeight="1" thickBot="1" x14ac:dyDescent="0.3">
      <c r="A2" s="6"/>
      <c r="B2" s="5"/>
      <c r="C2" s="935"/>
      <c r="D2" s="828"/>
      <c r="E2" s="828"/>
      <c r="F2" s="85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937" t="s">
        <v>278</v>
      </c>
      <c r="AA2" s="809"/>
      <c r="AB2" s="809"/>
      <c r="AC2" s="809"/>
      <c r="AD2" s="809"/>
      <c r="AE2" s="809"/>
      <c r="AF2" s="809"/>
      <c r="AG2" s="809"/>
      <c r="AH2" s="809"/>
      <c r="AI2" s="809"/>
      <c r="AJ2" s="809"/>
      <c r="AK2" s="809"/>
    </row>
    <row r="3" spans="1:37" ht="18.75" customHeight="1" thickBot="1" x14ac:dyDescent="0.3">
      <c r="A3" s="8"/>
      <c r="B3" s="9"/>
      <c r="C3" s="227"/>
      <c r="D3" s="228"/>
      <c r="E3" s="228"/>
      <c r="F3" s="229"/>
      <c r="G3" s="134" t="s">
        <v>279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938" t="s">
        <v>280</v>
      </c>
      <c r="AA3" s="828"/>
      <c r="AB3" s="828"/>
      <c r="AC3" s="828"/>
      <c r="AD3" s="828"/>
      <c r="AE3" s="829"/>
      <c r="AF3" s="939" t="s">
        <v>281</v>
      </c>
      <c r="AG3" s="828"/>
      <c r="AH3" s="828"/>
      <c r="AI3" s="828"/>
      <c r="AJ3" s="828"/>
      <c r="AK3" s="828"/>
    </row>
    <row r="4" spans="1:37" ht="26.25" customHeight="1" thickBot="1" x14ac:dyDescent="0.3">
      <c r="A4" s="873"/>
      <c r="B4" s="865"/>
      <c r="C4" s="230" t="str">
        <f>'Front Page'!$D$4</f>
        <v>Doc Nº</v>
      </c>
      <c r="D4" s="231"/>
      <c r="E4" s="232"/>
      <c r="F4" s="233"/>
      <c r="G4" s="14" t="s">
        <v>253</v>
      </c>
      <c r="H4" s="218" t="s">
        <v>254</v>
      </c>
      <c r="I4" s="218" t="s">
        <v>255</v>
      </c>
      <c r="J4" s="5"/>
      <c r="K4" s="5" t="s">
        <v>282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234" t="s">
        <v>283</v>
      </c>
      <c r="AA4" s="235" t="s">
        <v>284</v>
      </c>
      <c r="AB4" s="235" t="s">
        <v>285</v>
      </c>
      <c r="AC4" s="235" t="s">
        <v>286</v>
      </c>
      <c r="AD4" s="235" t="s">
        <v>287</v>
      </c>
      <c r="AE4" s="236" t="s">
        <v>288</v>
      </c>
      <c r="AF4" s="235" t="s">
        <v>283</v>
      </c>
      <c r="AG4" s="235" t="s">
        <v>284</v>
      </c>
      <c r="AH4" s="235" t="s">
        <v>285</v>
      </c>
      <c r="AI4" s="235" t="s">
        <v>286</v>
      </c>
      <c r="AJ4" s="235" t="s">
        <v>287</v>
      </c>
      <c r="AK4" s="236" t="s">
        <v>288</v>
      </c>
    </row>
    <row r="5" spans="1:37" ht="27" customHeight="1" thickBot="1" x14ac:dyDescent="0.3">
      <c r="A5" s="860"/>
      <c r="B5" s="861"/>
      <c r="C5" s="237" t="s">
        <v>289</v>
      </c>
      <c r="D5" s="238"/>
      <c r="E5" s="31" t="s">
        <v>5</v>
      </c>
      <c r="F5" s="239"/>
      <c r="G5" s="218" t="s">
        <v>290</v>
      </c>
      <c r="H5" s="218" t="s">
        <v>257</v>
      </c>
      <c r="I5" s="218" t="s">
        <v>270</v>
      </c>
      <c r="J5" s="218" t="s">
        <v>291</v>
      </c>
      <c r="K5" s="218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240" t="s">
        <v>292</v>
      </c>
      <c r="AA5" s="101"/>
      <c r="AB5" s="101"/>
      <c r="AC5" s="101"/>
      <c r="AD5" s="101"/>
      <c r="AE5" s="241" t="s">
        <v>293</v>
      </c>
      <c r="AF5" s="242" t="s">
        <v>294</v>
      </c>
      <c r="AG5" s="242"/>
      <c r="AH5" s="242"/>
      <c r="AI5" s="242"/>
      <c r="AJ5" s="242"/>
      <c r="AK5" s="241" t="s">
        <v>293</v>
      </c>
    </row>
    <row r="6" spans="1:37" ht="13.5" customHeight="1" thickTop="1" x14ac:dyDescent="0.2">
      <c r="A6" s="5"/>
      <c r="B6" s="5"/>
      <c r="C6" s="5"/>
      <c r="D6" s="5"/>
      <c r="E6" s="5"/>
      <c r="F6" s="5"/>
      <c r="G6" s="5"/>
      <c r="H6" s="14" t="s">
        <v>247</v>
      </c>
      <c r="I6" s="14" t="s">
        <v>247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43" t="s">
        <v>247</v>
      </c>
      <c r="AA6" s="101"/>
      <c r="AB6" s="101" t="s">
        <v>295</v>
      </c>
      <c r="AC6" s="101" t="s">
        <v>295</v>
      </c>
      <c r="AD6" s="101" t="s">
        <v>247</v>
      </c>
      <c r="AE6" s="241" t="s">
        <v>247</v>
      </c>
      <c r="AF6" s="101" t="s">
        <v>247</v>
      </c>
      <c r="AG6" s="101"/>
      <c r="AH6" s="101" t="s">
        <v>295</v>
      </c>
      <c r="AI6" s="101" t="s">
        <v>295</v>
      </c>
      <c r="AJ6" s="101" t="s">
        <v>247</v>
      </c>
      <c r="AK6" s="241" t="s">
        <v>247</v>
      </c>
    </row>
    <row r="7" spans="1:37" x14ac:dyDescent="0.2">
      <c r="A7" s="5"/>
      <c r="B7" s="5"/>
      <c r="C7" s="5"/>
      <c r="D7" s="5"/>
      <c r="E7" s="5"/>
      <c r="F7" s="5"/>
      <c r="G7" s="14">
        <v>1</v>
      </c>
      <c r="H7" s="219">
        <v>8</v>
      </c>
      <c r="I7" s="244">
        <v>2000</v>
      </c>
      <c r="J7" s="5">
        <f>I7</f>
        <v>2000</v>
      </c>
      <c r="K7" s="14">
        <v>1</v>
      </c>
      <c r="L7" s="5">
        <v>6</v>
      </c>
      <c r="M7" s="5">
        <f>I7*($H$15/H7)^(5/2)</f>
        <v>0</v>
      </c>
      <c r="N7" s="5"/>
      <c r="O7" s="64">
        <v>18</v>
      </c>
      <c r="P7" s="5">
        <f>H7</f>
        <v>8</v>
      </c>
      <c r="Q7" s="5">
        <f>I7</f>
        <v>2000</v>
      </c>
      <c r="R7" s="5">
        <v>6528</v>
      </c>
      <c r="S7" s="5"/>
      <c r="T7" s="5"/>
      <c r="U7" s="5"/>
      <c r="V7" s="5"/>
      <c r="W7" s="5"/>
      <c r="X7" s="5"/>
      <c r="Y7" s="5"/>
      <c r="Z7" s="243"/>
      <c r="AA7" s="101">
        <f>0.59*AE7</f>
        <v>7080</v>
      </c>
      <c r="AB7" s="101">
        <f t="shared" ref="AB7:AB12" si="0">ROUNDUP(I7*L7/350,0)</f>
        <v>35</v>
      </c>
      <c r="AC7" s="245">
        <f t="shared" ref="AC7:AC12" si="1">ROUNDUP(AE7/350,0)</f>
        <v>35</v>
      </c>
      <c r="AD7" s="245"/>
      <c r="AE7" s="241">
        <f t="shared" ref="AE7:AE13" si="2">L7*I7</f>
        <v>12000</v>
      </c>
      <c r="AF7" s="101"/>
      <c r="AG7" s="101">
        <f>0.51*AK7</f>
        <v>66011.299199999994</v>
      </c>
      <c r="AH7" s="101">
        <f t="shared" ref="AH7:AH12" si="3">ROUNDUP(L7*I7/350,0)</f>
        <v>35</v>
      </c>
      <c r="AI7" s="101">
        <f>ROUNDUP(AK7/350,0)</f>
        <v>370</v>
      </c>
      <c r="AJ7" s="101"/>
      <c r="AK7" s="241">
        <f t="shared" ref="AK7:AK13" si="4">3.1416*$D$53*2</f>
        <v>129433.92</v>
      </c>
    </row>
    <row r="8" spans="1:37" ht="18" customHeight="1" x14ac:dyDescent="0.25">
      <c r="A8" s="246" t="s">
        <v>296</v>
      </c>
      <c r="B8" s="246"/>
      <c r="C8" s="222"/>
      <c r="D8" s="222"/>
      <c r="E8" s="5"/>
      <c r="F8" s="5"/>
      <c r="G8" s="14">
        <v>2</v>
      </c>
      <c r="H8" s="219">
        <v>8</v>
      </c>
      <c r="I8" s="244">
        <v>2000</v>
      </c>
      <c r="J8" s="5">
        <f>J7+I8</f>
        <v>4000</v>
      </c>
      <c r="K8" s="14">
        <v>2</v>
      </c>
      <c r="L8" s="5">
        <v>6</v>
      </c>
      <c r="M8" s="5">
        <f>I8*($H$15/H8)^(5/2)</f>
        <v>0</v>
      </c>
      <c r="N8" s="5"/>
      <c r="O8" s="5">
        <f>9*3</f>
        <v>27</v>
      </c>
      <c r="P8" s="5">
        <v>10</v>
      </c>
      <c r="Q8" s="5">
        <f>I8</f>
        <v>2000</v>
      </c>
      <c r="R8" s="5">
        <v>6528</v>
      </c>
      <c r="S8" s="5"/>
      <c r="T8" s="5"/>
      <c r="U8" s="5"/>
      <c r="V8" s="5"/>
      <c r="W8" s="5"/>
      <c r="X8" s="5"/>
      <c r="Y8" s="5"/>
      <c r="Z8" s="243"/>
      <c r="AA8" s="101">
        <f t="shared" ref="AA8:AA16" si="5">0.47*AE8</f>
        <v>5640</v>
      </c>
      <c r="AB8" s="101">
        <f t="shared" si="0"/>
        <v>35</v>
      </c>
      <c r="AC8" s="245">
        <f t="shared" si="1"/>
        <v>35</v>
      </c>
      <c r="AD8" s="245"/>
      <c r="AE8" s="241">
        <f t="shared" si="2"/>
        <v>12000</v>
      </c>
      <c r="AF8" s="101"/>
      <c r="AG8" s="101">
        <f t="shared" ref="AG8:AG13" si="6">0.44*AK8</f>
        <v>56950.924800000001</v>
      </c>
      <c r="AH8" s="101">
        <f t="shared" si="3"/>
        <v>35</v>
      </c>
      <c r="AI8" s="101">
        <f>ROUNDUP(AK8/350,0)</f>
        <v>370</v>
      </c>
      <c r="AJ8" s="101"/>
      <c r="AK8" s="241">
        <f t="shared" si="4"/>
        <v>129433.92</v>
      </c>
    </row>
    <row r="9" spans="1:37" x14ac:dyDescent="0.2">
      <c r="A9" s="5" t="s">
        <v>297</v>
      </c>
      <c r="B9" s="5"/>
      <c r="C9" s="5"/>
      <c r="D9" s="247" t="s">
        <v>298</v>
      </c>
      <c r="E9" s="5"/>
      <c r="F9" s="5"/>
      <c r="G9" s="14">
        <v>3</v>
      </c>
      <c r="H9" s="219">
        <v>8</v>
      </c>
      <c r="I9" s="244">
        <v>2000</v>
      </c>
      <c r="J9" s="5">
        <f>J8+I9</f>
        <v>6000</v>
      </c>
      <c r="K9" s="14">
        <v>2</v>
      </c>
      <c r="L9" s="5">
        <v>6</v>
      </c>
      <c r="M9" s="5">
        <f>I9*($H$15/H9)^(5/2)</f>
        <v>0</v>
      </c>
      <c r="N9" s="5"/>
      <c r="O9" s="5">
        <f>2*9</f>
        <v>18</v>
      </c>
      <c r="P9" s="5">
        <v>8</v>
      </c>
      <c r="Q9" s="5">
        <f>I9</f>
        <v>2000</v>
      </c>
      <c r="R9" s="5">
        <v>6528</v>
      </c>
      <c r="S9" s="5"/>
      <c r="T9" s="5"/>
      <c r="U9" s="5"/>
      <c r="V9" s="5"/>
      <c r="W9" s="5"/>
      <c r="X9" s="5"/>
      <c r="Y9" s="5"/>
      <c r="Z9" s="243"/>
      <c r="AA9" s="101">
        <f t="shared" si="5"/>
        <v>5640</v>
      </c>
      <c r="AB9" s="101">
        <f t="shared" si="0"/>
        <v>35</v>
      </c>
      <c r="AC9" s="245">
        <f t="shared" si="1"/>
        <v>35</v>
      </c>
      <c r="AD9" s="245"/>
      <c r="AE9" s="241">
        <f t="shared" si="2"/>
        <v>12000</v>
      </c>
      <c r="AF9" s="101"/>
      <c r="AG9" s="101">
        <f t="shared" si="6"/>
        <v>56950.924800000001</v>
      </c>
      <c r="AH9" s="101">
        <f t="shared" si="3"/>
        <v>35</v>
      </c>
      <c r="AI9" s="101">
        <f>ROUNDUP(AK9/350,0)</f>
        <v>370</v>
      </c>
      <c r="AJ9" s="101"/>
      <c r="AK9" s="241">
        <f t="shared" si="4"/>
        <v>129433.92</v>
      </c>
    </row>
    <row r="10" spans="1:37" x14ac:dyDescent="0.2">
      <c r="A10" s="5" t="s">
        <v>299</v>
      </c>
      <c r="B10" s="5"/>
      <c r="C10" s="5"/>
      <c r="D10" s="223">
        <v>-196</v>
      </c>
      <c r="E10" s="5"/>
      <c r="F10" s="5"/>
      <c r="G10" s="14">
        <v>4</v>
      </c>
      <c r="H10" s="219">
        <v>8</v>
      </c>
      <c r="I10" s="244">
        <v>1500</v>
      </c>
      <c r="J10" s="5">
        <f>J9+I10</f>
        <v>7500</v>
      </c>
      <c r="K10" s="14">
        <v>2</v>
      </c>
      <c r="L10" s="5">
        <v>6</v>
      </c>
      <c r="M10" s="5">
        <f>I10*($H$15/H10)^(5/2)</f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243"/>
      <c r="AA10" s="101">
        <f t="shared" si="5"/>
        <v>4230</v>
      </c>
      <c r="AB10" s="101">
        <f t="shared" si="0"/>
        <v>26</v>
      </c>
      <c r="AC10" s="245">
        <f t="shared" si="1"/>
        <v>26</v>
      </c>
      <c r="AD10" s="245"/>
      <c r="AE10" s="241">
        <f t="shared" si="2"/>
        <v>9000</v>
      </c>
      <c r="AF10" s="101"/>
      <c r="AG10" s="101">
        <f t="shared" si="6"/>
        <v>56950.924800000001</v>
      </c>
      <c r="AH10" s="101">
        <f t="shared" si="3"/>
        <v>26</v>
      </c>
      <c r="AI10" s="101">
        <f>ROUNDUP(AK10/350,0)</f>
        <v>370</v>
      </c>
      <c r="AJ10" s="101"/>
      <c r="AK10" s="241">
        <f t="shared" si="4"/>
        <v>129433.92</v>
      </c>
    </row>
    <row r="11" spans="1:37" x14ac:dyDescent="0.2">
      <c r="A11" s="5" t="s">
        <v>300</v>
      </c>
      <c r="B11" s="5"/>
      <c r="C11" s="5"/>
      <c r="D11" s="223">
        <f>'Design Conditions'!G33</f>
        <v>808</v>
      </c>
      <c r="E11" s="5"/>
      <c r="F11" s="5"/>
      <c r="G11" s="14"/>
      <c r="H11" s="219"/>
      <c r="I11" s="244"/>
      <c r="J11" s="5"/>
      <c r="K11" s="1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243"/>
      <c r="AA11" s="101">
        <f t="shared" si="5"/>
        <v>0</v>
      </c>
      <c r="AB11" s="101">
        <f t="shared" si="0"/>
        <v>0</v>
      </c>
      <c r="AC11" s="245">
        <f t="shared" si="1"/>
        <v>0</v>
      </c>
      <c r="AD11" s="245"/>
      <c r="AE11" s="241">
        <f t="shared" si="2"/>
        <v>0</v>
      </c>
      <c r="AF11" s="101"/>
      <c r="AG11" s="101">
        <f t="shared" si="6"/>
        <v>56950.924800000001</v>
      </c>
      <c r="AH11" s="101">
        <f t="shared" si="3"/>
        <v>0</v>
      </c>
      <c r="AI11" s="101">
        <f>L11</f>
        <v>0</v>
      </c>
      <c r="AJ11" s="101">
        <f>AK11-350*AI11</f>
        <v>129433.92</v>
      </c>
      <c r="AK11" s="241">
        <f t="shared" si="4"/>
        <v>129433.92</v>
      </c>
    </row>
    <row r="12" spans="1:37" x14ac:dyDescent="0.2">
      <c r="A12" s="117" t="s">
        <v>301</v>
      </c>
      <c r="B12" s="5"/>
      <c r="C12" s="5"/>
      <c r="D12" s="223">
        <v>199</v>
      </c>
      <c r="E12" s="5"/>
      <c r="F12" s="5"/>
      <c r="G12" s="14"/>
      <c r="H12" s="219"/>
      <c r="I12" s="244"/>
      <c r="J12" s="5"/>
      <c r="K12" s="1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243"/>
      <c r="AA12" s="101">
        <f t="shared" si="5"/>
        <v>0</v>
      </c>
      <c r="AB12" s="101">
        <f t="shared" si="0"/>
        <v>0</v>
      </c>
      <c r="AC12" s="245">
        <f t="shared" si="1"/>
        <v>0</v>
      </c>
      <c r="AD12" s="245"/>
      <c r="AE12" s="241">
        <f t="shared" si="2"/>
        <v>0</v>
      </c>
      <c r="AF12" s="101"/>
      <c r="AG12" s="101">
        <f t="shared" si="6"/>
        <v>56950.924800000001</v>
      </c>
      <c r="AH12" s="101">
        <f t="shared" si="3"/>
        <v>0</v>
      </c>
      <c r="AI12" s="101">
        <f>L12</f>
        <v>0</v>
      </c>
      <c r="AJ12" s="101">
        <f>AK12-350*AI12</f>
        <v>129433.92</v>
      </c>
      <c r="AK12" s="241">
        <f t="shared" si="4"/>
        <v>129433.92</v>
      </c>
    </row>
    <row r="13" spans="1:37" x14ac:dyDescent="0.2">
      <c r="A13" s="226"/>
      <c r="B13" s="5"/>
      <c r="C13" s="117"/>
      <c r="D13" s="223"/>
      <c r="E13" s="5"/>
      <c r="F13" s="5"/>
      <c r="G13" s="14"/>
      <c r="H13" s="219"/>
      <c r="I13" s="244"/>
      <c r="J13" s="5"/>
      <c r="K13" s="248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243"/>
      <c r="AA13" s="101">
        <f t="shared" si="5"/>
        <v>0</v>
      </c>
      <c r="AB13" s="101">
        <f>ROUNDUP(3000*L13/350,0)</f>
        <v>0</v>
      </c>
      <c r="AC13" s="245">
        <f>L13</f>
        <v>0</v>
      </c>
      <c r="AD13" s="245">
        <f>AE13-AC13*350</f>
        <v>0</v>
      </c>
      <c r="AE13" s="241">
        <f t="shared" si="2"/>
        <v>0</v>
      </c>
      <c r="AF13" s="101"/>
      <c r="AG13" s="101">
        <f t="shared" si="6"/>
        <v>56950.924800000001</v>
      </c>
      <c r="AH13" s="101">
        <f>ROUNDUP(L13*3000/350,0)</f>
        <v>0</v>
      </c>
      <c r="AI13" s="101">
        <f>L13</f>
        <v>0</v>
      </c>
      <c r="AJ13" s="101">
        <f>AK13-350*AI13</f>
        <v>129433.92</v>
      </c>
      <c r="AK13" s="241">
        <f t="shared" si="4"/>
        <v>129433.92</v>
      </c>
    </row>
    <row r="14" spans="1:37" ht="13.5" customHeight="1" thickBot="1" x14ac:dyDescent="0.25">
      <c r="A14" s="5"/>
      <c r="B14" s="5"/>
      <c r="C14" s="5"/>
      <c r="D14" s="5"/>
      <c r="E14" s="5"/>
      <c r="F14" s="5"/>
      <c r="G14" s="14"/>
      <c r="H14" s="219"/>
      <c r="I14" s="249"/>
      <c r="J14" s="5"/>
      <c r="K14" s="248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250"/>
      <c r="AA14" s="251">
        <f t="shared" si="5"/>
        <v>0</v>
      </c>
      <c r="AB14" s="251">
        <f>ROUNDUP(3000*L14/350,0)</f>
        <v>0</v>
      </c>
      <c r="AC14" s="252">
        <f>L14</f>
        <v>0</v>
      </c>
      <c r="AD14" s="252">
        <f>AE14-AC14*350</f>
        <v>0</v>
      </c>
      <c r="AE14" s="253">
        <f>L14*J16</f>
        <v>0</v>
      </c>
      <c r="AF14" s="251"/>
      <c r="AG14" s="251"/>
      <c r="AH14" s="251"/>
      <c r="AI14" s="251"/>
      <c r="AJ14" s="251"/>
      <c r="AK14" s="253"/>
    </row>
    <row r="15" spans="1:37" ht="18" customHeight="1" x14ac:dyDescent="0.25">
      <c r="A15" s="134" t="s">
        <v>302</v>
      </c>
      <c r="B15" s="5"/>
      <c r="C15" s="5"/>
      <c r="D15" s="5"/>
      <c r="E15" s="5"/>
      <c r="F15" s="5"/>
      <c r="G15" s="14"/>
      <c r="H15" s="219"/>
      <c r="I15" s="24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01"/>
      <c r="AA15" s="101">
        <f t="shared" si="5"/>
        <v>0</v>
      </c>
      <c r="AB15" s="101"/>
      <c r="AC15" s="101"/>
      <c r="AD15" s="101"/>
      <c r="AE15" s="101">
        <f>L15*I15</f>
        <v>0</v>
      </c>
      <c r="AF15" s="101"/>
      <c r="AG15" s="101"/>
      <c r="AH15" s="5"/>
      <c r="AI15" s="5"/>
      <c r="AJ15" s="5"/>
      <c r="AK15" s="5"/>
    </row>
    <row r="16" spans="1:37" ht="18" customHeight="1" x14ac:dyDescent="0.25">
      <c r="A16" s="134"/>
      <c r="B16" s="5"/>
      <c r="C16" s="5"/>
      <c r="D16" s="5"/>
      <c r="E16" s="5"/>
      <c r="F16" s="5"/>
      <c r="G16" s="14"/>
      <c r="H16" s="219"/>
      <c r="I16" s="24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01"/>
      <c r="AA16" s="101">
        <f t="shared" si="5"/>
        <v>0</v>
      </c>
      <c r="AB16" s="101"/>
      <c r="AC16" s="101"/>
      <c r="AD16" s="101"/>
      <c r="AE16" s="101">
        <f>L16*I16</f>
        <v>0</v>
      </c>
      <c r="AF16" s="101"/>
      <c r="AG16" s="101"/>
      <c r="AH16" s="5"/>
      <c r="AI16" s="5"/>
      <c r="AJ16" s="5"/>
      <c r="AK16" s="5"/>
    </row>
    <row r="17" spans="1:37" x14ac:dyDescent="0.2">
      <c r="A17" s="5"/>
      <c r="B17" s="5"/>
      <c r="C17" s="5"/>
      <c r="D17" s="5"/>
      <c r="E17" s="5"/>
      <c r="F17" s="5"/>
      <c r="G17" s="14"/>
      <c r="H17" s="216"/>
      <c r="I17" s="216"/>
      <c r="J17" s="5"/>
      <c r="K17" s="5"/>
      <c r="L17" s="5">
        <f>J17-D50</f>
        <v>-7200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254"/>
      <c r="AA17" s="101"/>
      <c r="AB17" s="101"/>
      <c r="AC17" s="101"/>
      <c r="AD17" s="101"/>
      <c r="AE17" s="101"/>
      <c r="AF17" s="101"/>
      <c r="AG17" s="101"/>
      <c r="AH17" s="5"/>
      <c r="AI17" s="5"/>
      <c r="AJ17" s="5"/>
      <c r="AK17" s="5"/>
    </row>
    <row r="18" spans="1:37" x14ac:dyDescent="0.2">
      <c r="A18" s="248" t="s">
        <v>303</v>
      </c>
      <c r="B18" s="5"/>
      <c r="C18" s="5"/>
      <c r="D18" s="216">
        <v>8000</v>
      </c>
      <c r="E18" s="5" t="s">
        <v>304</v>
      </c>
      <c r="F18" s="5"/>
      <c r="G18" s="5" t="s">
        <v>305</v>
      </c>
      <c r="H18" s="5"/>
      <c r="I18" s="5">
        <f>(H7*I7+H8*I8+H9*I9+H10*I10+H11*I11+H12*I12+H13*I13+H14*J16+H15*I15+H16*I16+H17*I17)/SUM(I7:I17)</f>
        <v>8</v>
      </c>
      <c r="J18" s="5">
        <f>D50</f>
        <v>7200</v>
      </c>
      <c r="K18" s="5"/>
      <c r="L18" s="64" t="s">
        <v>306</v>
      </c>
      <c r="M18" s="5">
        <f>SUM(M7:M16)</f>
        <v>0</v>
      </c>
      <c r="N18" s="5">
        <f>M18/304.8</f>
        <v>0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254"/>
      <c r="AA18" s="101"/>
      <c r="AB18" s="101"/>
      <c r="AC18" s="101"/>
      <c r="AD18" s="101"/>
      <c r="AE18" s="101"/>
      <c r="AF18" s="101"/>
      <c r="AG18" s="101"/>
      <c r="AH18" s="5"/>
      <c r="AI18" s="5"/>
      <c r="AJ18" s="5"/>
      <c r="AK18" s="5"/>
    </row>
    <row r="19" spans="1:37" ht="13.5" customHeight="1" thickBot="1" x14ac:dyDescent="0.25">
      <c r="A19" s="5" t="s">
        <v>307</v>
      </c>
      <c r="B19" s="5"/>
      <c r="C19" s="5"/>
      <c r="D19" s="223">
        <v>1000</v>
      </c>
      <c r="E19" s="5" t="s">
        <v>304</v>
      </c>
      <c r="F19" s="5"/>
      <c r="G19" s="5"/>
      <c r="H19" s="216">
        <f>SUMPRODUCT(H7:H17,(J7:J17-I7:I17/2),I7:I17)/SUMPRODUCT(H7:H17,I7:I17)</f>
        <v>3750</v>
      </c>
      <c r="I19" s="5" t="s">
        <v>308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01"/>
      <c r="AA19" s="101"/>
      <c r="AB19" s="101"/>
      <c r="AC19" s="101"/>
      <c r="AD19" s="101"/>
      <c r="AE19" s="101"/>
      <c r="AF19" s="101"/>
      <c r="AG19" s="101"/>
      <c r="AH19" s="5"/>
      <c r="AI19" s="5"/>
      <c r="AJ19" s="5"/>
      <c r="AK19" s="5"/>
    </row>
    <row r="20" spans="1:37" ht="15.75" customHeight="1" thickBot="1" x14ac:dyDescent="0.25">
      <c r="A20" s="5" t="s">
        <v>309</v>
      </c>
      <c r="B20" s="5"/>
      <c r="C20" s="5"/>
      <c r="D20" s="223">
        <f>'Design Conditions'!J19</f>
        <v>91.3</v>
      </c>
      <c r="E20" s="5" t="s">
        <v>304</v>
      </c>
      <c r="F20" s="5"/>
      <c r="G20" s="64" t="s">
        <v>310</v>
      </c>
      <c r="H20" s="5"/>
      <c r="I20" s="249">
        <f>'Inner Tank stiffeners 1'!B167</f>
        <v>8</v>
      </c>
      <c r="J20" s="64" t="s">
        <v>247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940" t="s">
        <v>311</v>
      </c>
      <c r="AA20" s="831"/>
      <c r="AB20" s="831"/>
      <c r="AC20" s="831"/>
      <c r="AD20" s="831"/>
      <c r="AE20" s="831"/>
      <c r="AF20" s="831"/>
      <c r="AG20" s="832"/>
      <c r="AH20" s="5"/>
      <c r="AI20" s="5"/>
      <c r="AJ20" s="5"/>
      <c r="AK20" s="5"/>
    </row>
    <row r="21" spans="1:37" ht="18.75" customHeight="1" thickBot="1" x14ac:dyDescent="0.3">
      <c r="A21" s="5"/>
      <c r="B21" s="5"/>
      <c r="C21" s="5"/>
      <c r="D21" s="5"/>
      <c r="E21" s="5"/>
      <c r="F21" s="5"/>
      <c r="G21" s="134" t="s">
        <v>312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941" t="s">
        <v>280</v>
      </c>
      <c r="AA21" s="831"/>
      <c r="AB21" s="831"/>
      <c r="AC21" s="832"/>
      <c r="AD21" s="942" t="s">
        <v>281</v>
      </c>
      <c r="AE21" s="848"/>
      <c r="AF21" s="848"/>
      <c r="AG21" s="865"/>
      <c r="AH21" s="5"/>
      <c r="AI21" s="5"/>
      <c r="AJ21" s="5"/>
      <c r="AK21" s="5"/>
    </row>
    <row r="22" spans="1:37" ht="25.5" customHeight="1" x14ac:dyDescent="0.2">
      <c r="A22" s="5"/>
      <c r="B22" s="5"/>
      <c r="C22" s="5"/>
      <c r="D22" s="5"/>
      <c r="E22" s="5"/>
      <c r="F22" s="5"/>
      <c r="G22" s="14" t="s">
        <v>253</v>
      </c>
      <c r="H22" s="218" t="s">
        <v>254</v>
      </c>
      <c r="I22" s="218" t="s">
        <v>255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234" t="s">
        <v>283</v>
      </c>
      <c r="AA22" s="235" t="s">
        <v>284</v>
      </c>
      <c r="AB22" s="235" t="s">
        <v>286</v>
      </c>
      <c r="AC22" s="236" t="s">
        <v>288</v>
      </c>
      <c r="AD22" s="235" t="s">
        <v>283</v>
      </c>
      <c r="AE22" s="235" t="s">
        <v>284</v>
      </c>
      <c r="AF22" s="235" t="s">
        <v>286</v>
      </c>
      <c r="AG22" s="236" t="s">
        <v>288</v>
      </c>
      <c r="AH22" s="5"/>
      <c r="AI22" s="5"/>
      <c r="AJ22" s="5"/>
      <c r="AK22" s="5"/>
    </row>
    <row r="23" spans="1:37" ht="25.5" customHeight="1" x14ac:dyDescent="0.2">
      <c r="A23" s="5"/>
      <c r="B23" s="5"/>
      <c r="C23" s="5"/>
      <c r="D23" s="5"/>
      <c r="E23" s="5"/>
      <c r="F23" s="5"/>
      <c r="G23" s="218" t="s">
        <v>290</v>
      </c>
      <c r="H23" s="218" t="s">
        <v>257</v>
      </c>
      <c r="I23" s="218" t="s">
        <v>270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240" t="s">
        <v>292</v>
      </c>
      <c r="AA23" s="101"/>
      <c r="AB23" s="101"/>
      <c r="AC23" s="241" t="s">
        <v>293</v>
      </c>
      <c r="AD23" s="240" t="s">
        <v>292</v>
      </c>
      <c r="AE23" s="101"/>
      <c r="AF23" s="101"/>
      <c r="AG23" s="241" t="s">
        <v>293</v>
      </c>
      <c r="AH23" s="5"/>
      <c r="AI23" s="5"/>
      <c r="AJ23" s="5"/>
      <c r="AK23" s="5"/>
    </row>
    <row r="24" spans="1:37" x14ac:dyDescent="0.2">
      <c r="A24" s="5"/>
      <c r="B24" s="5"/>
      <c r="C24" s="5"/>
      <c r="D24" s="5"/>
      <c r="E24" s="5"/>
      <c r="F24" s="5"/>
      <c r="G24" s="5"/>
      <c r="H24" s="14" t="s">
        <v>247</v>
      </c>
      <c r="I24" s="14" t="s">
        <v>247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243" t="s">
        <v>247</v>
      </c>
      <c r="AA24" s="101"/>
      <c r="AB24" s="101"/>
      <c r="AC24" s="241" t="s">
        <v>247</v>
      </c>
      <c r="AD24" s="101" t="s">
        <v>247</v>
      </c>
      <c r="AE24" s="101"/>
      <c r="AF24" s="101"/>
      <c r="AG24" s="241" t="s">
        <v>247</v>
      </c>
      <c r="AH24" s="5"/>
      <c r="AI24" s="5"/>
      <c r="AJ24" s="5"/>
      <c r="AK24" s="5"/>
    </row>
    <row r="25" spans="1:37" x14ac:dyDescent="0.2">
      <c r="A25" s="5"/>
      <c r="B25" s="5"/>
      <c r="C25" s="5"/>
      <c r="D25" s="5"/>
      <c r="E25" s="5"/>
      <c r="F25" s="5"/>
      <c r="G25" s="14">
        <v>1</v>
      </c>
      <c r="H25" s="219">
        <v>6</v>
      </c>
      <c r="I25" s="249">
        <v>2229</v>
      </c>
      <c r="J25" s="5">
        <f>I25</f>
        <v>2229</v>
      </c>
      <c r="K25" s="5">
        <v>304</v>
      </c>
      <c r="L25" s="5">
        <v>6</v>
      </c>
      <c r="M25" s="5"/>
      <c r="N25" s="5">
        <f>D32*PI()/6</f>
        <v>12252.211349000194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243"/>
      <c r="AA25" s="101">
        <f>0.38*AC25</f>
        <v>5082.12</v>
      </c>
      <c r="AB25" s="101" t="s">
        <v>3</v>
      </c>
      <c r="AC25" s="241">
        <f t="shared" ref="AC25:AC33" si="7">L25*I25</f>
        <v>13374</v>
      </c>
      <c r="AD25" s="101"/>
      <c r="AE25" s="101">
        <f>0.33*AG25</f>
        <v>24259.435200000004</v>
      </c>
      <c r="AF25" s="101" t="s">
        <v>3</v>
      </c>
      <c r="AG25" s="241">
        <f t="shared" ref="AG25:AG31" si="8">$D$32*3.1416</f>
        <v>73513.440000000002</v>
      </c>
      <c r="AH25" s="5"/>
      <c r="AI25" s="5"/>
      <c r="AJ25" s="5"/>
      <c r="AK25" s="5"/>
    </row>
    <row r="26" spans="1:37" ht="23.25" customHeight="1" x14ac:dyDescent="0.35">
      <c r="A26" s="255" t="s">
        <v>313</v>
      </c>
      <c r="B26" s="255"/>
      <c r="C26" s="255"/>
      <c r="D26" s="255"/>
      <c r="E26" s="255"/>
      <c r="F26" s="5"/>
      <c r="G26" s="14">
        <v>2</v>
      </c>
      <c r="H26" s="219">
        <v>6</v>
      </c>
      <c r="I26" s="249">
        <v>2229</v>
      </c>
      <c r="J26" s="5">
        <f>J25+I26</f>
        <v>4458</v>
      </c>
      <c r="K26" s="5">
        <v>304</v>
      </c>
      <c r="L26" s="5">
        <v>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243"/>
      <c r="AA26" s="101">
        <f t="shared" ref="AA26:AA33" si="9">0.25*AC26</f>
        <v>3343.5</v>
      </c>
      <c r="AB26" s="101" t="s">
        <v>3</v>
      </c>
      <c r="AC26" s="241">
        <f t="shared" si="7"/>
        <v>13374</v>
      </c>
      <c r="AD26" s="101"/>
      <c r="AE26" s="101">
        <f t="shared" ref="AE26:AE31" si="10">0.25*AG26</f>
        <v>18378.36</v>
      </c>
      <c r="AF26" s="101" t="s">
        <v>3</v>
      </c>
      <c r="AG26" s="241">
        <f t="shared" si="8"/>
        <v>73513.440000000002</v>
      </c>
      <c r="AH26" s="5"/>
      <c r="AI26" s="5"/>
      <c r="AJ26" s="5"/>
      <c r="AK26" s="5"/>
    </row>
    <row r="27" spans="1:37" x14ac:dyDescent="0.2">
      <c r="A27" s="5"/>
      <c r="B27" s="5"/>
      <c r="C27" s="5"/>
      <c r="D27" s="5"/>
      <c r="E27" s="5"/>
      <c r="F27" s="5"/>
      <c r="G27" s="14">
        <v>3</v>
      </c>
      <c r="H27" s="219">
        <v>6</v>
      </c>
      <c r="I27" s="249">
        <v>2229</v>
      </c>
      <c r="J27" s="5">
        <f>J26+I27</f>
        <v>6687</v>
      </c>
      <c r="K27" s="5">
        <v>304</v>
      </c>
      <c r="L27" s="5">
        <v>6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243"/>
      <c r="AA27" s="101">
        <f t="shared" si="9"/>
        <v>3343.5</v>
      </c>
      <c r="AB27" s="101" t="s">
        <v>3</v>
      </c>
      <c r="AC27" s="241">
        <f t="shared" si="7"/>
        <v>13374</v>
      </c>
      <c r="AD27" s="101"/>
      <c r="AE27" s="101">
        <f t="shared" si="10"/>
        <v>18378.36</v>
      </c>
      <c r="AF27" s="101" t="s">
        <v>3</v>
      </c>
      <c r="AG27" s="241">
        <f t="shared" si="8"/>
        <v>73513.440000000002</v>
      </c>
      <c r="AH27" s="5"/>
      <c r="AI27" s="5"/>
      <c r="AJ27" s="5"/>
      <c r="AK27" s="5"/>
    </row>
    <row r="28" spans="1:37" ht="15.75" customHeight="1" x14ac:dyDescent="0.25">
      <c r="A28" s="102" t="s">
        <v>314</v>
      </c>
      <c r="B28" s="5"/>
      <c r="C28" s="5"/>
      <c r="D28" s="5"/>
      <c r="E28" s="5"/>
      <c r="F28" s="5"/>
      <c r="G28" s="14">
        <v>4</v>
      </c>
      <c r="H28" s="219">
        <v>6</v>
      </c>
      <c r="I28" s="249">
        <v>2229</v>
      </c>
      <c r="J28" s="5">
        <f>J27+I28</f>
        <v>8916</v>
      </c>
      <c r="K28" s="5">
        <v>304</v>
      </c>
      <c r="L28" s="5">
        <v>6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243"/>
      <c r="AA28" s="101">
        <f t="shared" si="9"/>
        <v>3343.5</v>
      </c>
      <c r="AB28" s="101" t="s">
        <v>3</v>
      </c>
      <c r="AC28" s="241">
        <f t="shared" si="7"/>
        <v>13374</v>
      </c>
      <c r="AD28" s="101"/>
      <c r="AE28" s="101">
        <f t="shared" si="10"/>
        <v>18378.36</v>
      </c>
      <c r="AF28" s="101" t="s">
        <v>3</v>
      </c>
      <c r="AG28" s="241">
        <f t="shared" si="8"/>
        <v>73513.440000000002</v>
      </c>
      <c r="AH28" s="5"/>
      <c r="AI28" s="5"/>
      <c r="AJ28" s="5"/>
      <c r="AK28" s="5"/>
    </row>
    <row r="29" spans="1:37" x14ac:dyDescent="0.2">
      <c r="A29" s="5"/>
      <c r="B29" s="5"/>
      <c r="C29" s="5"/>
      <c r="D29" s="5"/>
      <c r="E29" s="5"/>
      <c r="F29" s="5"/>
      <c r="G29" s="14">
        <v>5</v>
      </c>
      <c r="H29" s="219"/>
      <c r="I29" s="249"/>
      <c r="J29" s="5">
        <f>J28+I29</f>
        <v>8916</v>
      </c>
      <c r="K29" s="5">
        <v>304</v>
      </c>
      <c r="L29" s="5">
        <v>6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243"/>
      <c r="AA29" s="101">
        <f t="shared" si="9"/>
        <v>0</v>
      </c>
      <c r="AB29" s="101" t="s">
        <v>3</v>
      </c>
      <c r="AC29" s="241">
        <f t="shared" si="7"/>
        <v>0</v>
      </c>
      <c r="AD29" s="101"/>
      <c r="AE29" s="101">
        <f t="shared" si="10"/>
        <v>18378.36</v>
      </c>
      <c r="AF29" s="101" t="s">
        <v>3</v>
      </c>
      <c r="AG29" s="241">
        <f t="shared" si="8"/>
        <v>73513.440000000002</v>
      </c>
      <c r="AH29" s="5"/>
      <c r="AI29" s="5"/>
      <c r="AJ29" s="5"/>
      <c r="AK29" s="5"/>
    </row>
    <row r="30" spans="1:37" x14ac:dyDescent="0.2">
      <c r="A30" s="5" t="s">
        <v>315</v>
      </c>
      <c r="B30" s="5"/>
      <c r="C30" s="5"/>
      <c r="D30" s="5">
        <f>D50+D52+E82-D31+(D32-D53)/2</f>
        <v>8913.0432931562736</v>
      </c>
      <c r="E30" s="5" t="s">
        <v>247</v>
      </c>
      <c r="F30" s="5">
        <f>D30/4</f>
        <v>2228.2608232890684</v>
      </c>
      <c r="G30" s="14"/>
      <c r="H30" s="219"/>
      <c r="I30" s="24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243"/>
      <c r="AA30" s="101">
        <f t="shared" si="9"/>
        <v>0</v>
      </c>
      <c r="AB30" s="101" t="s">
        <v>3</v>
      </c>
      <c r="AC30" s="241">
        <f t="shared" si="7"/>
        <v>0</v>
      </c>
      <c r="AD30" s="101"/>
      <c r="AE30" s="101">
        <f t="shared" si="10"/>
        <v>18378.36</v>
      </c>
      <c r="AF30" s="101" t="s">
        <v>3</v>
      </c>
      <c r="AG30" s="241">
        <f t="shared" si="8"/>
        <v>73513.440000000002</v>
      </c>
      <c r="AH30" s="5"/>
      <c r="AI30" s="5"/>
      <c r="AJ30" s="5"/>
      <c r="AK30" s="5"/>
    </row>
    <row r="31" spans="1:37" x14ac:dyDescent="0.2">
      <c r="A31" s="5" t="s">
        <v>316</v>
      </c>
      <c r="B31" s="5"/>
      <c r="C31" s="5"/>
      <c r="D31" s="5">
        <f>D33-(D33^2-(D32/2)^2)^0.5</f>
        <v>3925.1817458168516</v>
      </c>
      <c r="E31" s="5" t="s">
        <v>247</v>
      </c>
      <c r="F31" s="5">
        <f>2*D31/3</f>
        <v>2616.7878305445679</v>
      </c>
      <c r="G31" s="14"/>
      <c r="H31" s="219"/>
      <c r="I31" s="24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243"/>
      <c r="AA31" s="101">
        <f t="shared" si="9"/>
        <v>0</v>
      </c>
      <c r="AB31" s="101" t="s">
        <v>3</v>
      </c>
      <c r="AC31" s="241">
        <f t="shared" si="7"/>
        <v>0</v>
      </c>
      <c r="AD31" s="101"/>
      <c r="AE31" s="101">
        <f t="shared" si="10"/>
        <v>18378.36</v>
      </c>
      <c r="AF31" s="101" t="s">
        <v>3</v>
      </c>
      <c r="AG31" s="241">
        <f t="shared" si="8"/>
        <v>73513.440000000002</v>
      </c>
      <c r="AH31" s="5"/>
      <c r="AI31" s="5"/>
      <c r="AJ31" s="5"/>
      <c r="AK31" s="5"/>
    </row>
    <row r="32" spans="1:37" ht="13.5" customHeight="1" thickBot="1" x14ac:dyDescent="0.25">
      <c r="A32" s="5" t="s">
        <v>317</v>
      </c>
      <c r="B32" s="5"/>
      <c r="C32" s="5"/>
      <c r="D32" s="5">
        <f>D53+2*D40</f>
        <v>23400</v>
      </c>
      <c r="E32" s="5" t="s">
        <v>247</v>
      </c>
      <c r="F32" s="5"/>
      <c r="G32" s="14"/>
      <c r="H32" s="219"/>
      <c r="I32" s="249"/>
      <c r="J32" s="5"/>
      <c r="K32" s="5"/>
      <c r="L32" s="5"/>
      <c r="M32" s="5"/>
      <c r="N32" s="5"/>
      <c r="O32" s="5">
        <f>D33-(D33^2-(O34/2)^2)^0.5</f>
        <v>161.75683696663691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250"/>
      <c r="AA32" s="251">
        <f t="shared" si="9"/>
        <v>0</v>
      </c>
      <c r="AB32" s="251" t="s">
        <v>3</v>
      </c>
      <c r="AC32" s="253">
        <f t="shared" si="7"/>
        <v>0</v>
      </c>
      <c r="AD32" s="251"/>
      <c r="AE32" s="251"/>
      <c r="AF32" s="251"/>
      <c r="AG32" s="253"/>
      <c r="AH32" s="5"/>
      <c r="AI32" s="5"/>
      <c r="AJ32" s="5"/>
      <c r="AK32" s="5"/>
    </row>
    <row r="33" spans="1:37" ht="13.5" customHeight="1" thickBot="1" x14ac:dyDescent="0.25">
      <c r="A33" s="5" t="s">
        <v>318</v>
      </c>
      <c r="B33" s="5"/>
      <c r="C33" s="5"/>
      <c r="D33" s="5">
        <f>D54+D40</f>
        <v>19400</v>
      </c>
      <c r="E33" s="5" t="s">
        <v>247</v>
      </c>
      <c r="F33" s="5"/>
      <c r="G33" s="14"/>
      <c r="H33" s="219"/>
      <c r="I33" s="249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251"/>
      <c r="AA33" s="251">
        <f t="shared" si="9"/>
        <v>0</v>
      </c>
      <c r="AB33" s="251"/>
      <c r="AC33" s="251">
        <f t="shared" si="7"/>
        <v>0</v>
      </c>
      <c r="AD33" s="251"/>
      <c r="AE33" s="251"/>
      <c r="AF33" s="251"/>
      <c r="AG33" s="251"/>
      <c r="AH33" s="5"/>
      <c r="AI33" s="5"/>
      <c r="AJ33" s="5"/>
      <c r="AK33" s="5"/>
    </row>
    <row r="34" spans="1:37" ht="15.75" customHeight="1" thickBot="1" x14ac:dyDescent="0.25">
      <c r="A34" s="5" t="s">
        <v>319</v>
      </c>
      <c r="B34" s="5"/>
      <c r="C34" s="5"/>
      <c r="D34" s="5"/>
      <c r="E34" s="5" t="s">
        <v>247</v>
      </c>
      <c r="F34" s="5"/>
      <c r="G34" s="14"/>
      <c r="H34" s="219"/>
      <c r="I34" s="249"/>
      <c r="J34" s="5"/>
      <c r="K34" s="5">
        <f>D30-J34</f>
        <v>8913.0432931562736</v>
      </c>
      <c r="L34" s="5"/>
      <c r="M34" s="5"/>
      <c r="N34" s="64" t="s">
        <v>320</v>
      </c>
      <c r="O34" s="5">
        <v>5000</v>
      </c>
      <c r="P34" s="5"/>
      <c r="Q34" s="5"/>
      <c r="R34" s="64" t="s">
        <v>321</v>
      </c>
      <c r="S34" s="5">
        <f>D33-(D33^2-(S36/2)^2)^0.5</f>
        <v>1381.8587413595451</v>
      </c>
      <c r="T34" s="5"/>
      <c r="U34" s="5"/>
      <c r="V34" s="5"/>
      <c r="W34" s="5"/>
      <c r="X34" s="5"/>
      <c r="Y34" s="5"/>
      <c r="Z34" s="940" t="s">
        <v>322</v>
      </c>
      <c r="AA34" s="831"/>
      <c r="AB34" s="831"/>
      <c r="AC34" s="831"/>
      <c r="AD34" s="831"/>
      <c r="AE34" s="831"/>
      <c r="AF34" s="831"/>
      <c r="AG34" s="832"/>
      <c r="AH34" s="5"/>
      <c r="AI34" s="5"/>
      <c r="AJ34" s="5"/>
      <c r="AK34" s="5"/>
    </row>
    <row r="35" spans="1:37" ht="15" customHeight="1" x14ac:dyDescent="0.2">
      <c r="A35" s="5" t="s">
        <v>251</v>
      </c>
      <c r="B35" s="5"/>
      <c r="C35" s="5"/>
      <c r="D35" s="249">
        <v>12</v>
      </c>
      <c r="E35" s="5"/>
      <c r="F35" s="5"/>
      <c r="G35" s="5" t="s">
        <v>305</v>
      </c>
      <c r="H35" s="5"/>
      <c r="I35" s="5">
        <f>(H25*I25+H26*I26+H27*I27+H28*I28+H29*I29+H30*I30+H31*I31+H32*I32+H33*I33+H34*I34)/SUM(I25:I34)</f>
        <v>6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943" t="s">
        <v>323</v>
      </c>
      <c r="AA35" s="848"/>
      <c r="AB35" s="848"/>
      <c r="AC35" s="865"/>
      <c r="AD35" s="942" t="s">
        <v>324</v>
      </c>
      <c r="AE35" s="848"/>
      <c r="AF35" s="848"/>
      <c r="AG35" s="865"/>
      <c r="AH35" s="5"/>
      <c r="AI35" s="5"/>
      <c r="AJ35" s="5"/>
      <c r="AK35" s="5"/>
    </row>
    <row r="36" spans="1:37" ht="25.5" customHeight="1" x14ac:dyDescent="0.2">
      <c r="A36" s="5" t="s">
        <v>325</v>
      </c>
      <c r="B36" s="5"/>
      <c r="C36" s="5"/>
      <c r="D36" s="5">
        <f>2*PI()*D33*D31</f>
        <v>478455298.90252364</v>
      </c>
      <c r="E36" s="5">
        <f>(D32/1000)^2*PI()*F37/4-'Main Dimensions Calcs'!E88*('Main Dimensions Calcs'!E81+'Main Dimensions Calcs'!E84+'Main Dimensions Calcs'!E83)/'Main Dimensions Calcs'!E81</f>
        <v>4816.5663636182499</v>
      </c>
      <c r="F36" s="5"/>
      <c r="G36" s="932" t="s">
        <v>326</v>
      </c>
      <c r="H36" s="809"/>
      <c r="I36" s="809"/>
      <c r="J36" s="809"/>
      <c r="K36" s="216">
        <v>8</v>
      </c>
      <c r="L36" s="5" t="s">
        <v>247</v>
      </c>
      <c r="M36" s="5"/>
      <c r="N36" s="5"/>
      <c r="O36" s="256">
        <f>2*PI()*D33*O32</f>
        <v>19717154.718473565</v>
      </c>
      <c r="P36" s="256">
        <f>D41-O36</f>
        <v>458738144.18405008</v>
      </c>
      <c r="Q36" s="5"/>
      <c r="R36" s="64" t="s">
        <v>320</v>
      </c>
      <c r="S36" s="5">
        <v>14381.458282619131</v>
      </c>
      <c r="T36" s="5"/>
      <c r="U36" s="5"/>
      <c r="V36" s="5"/>
      <c r="W36" s="5"/>
      <c r="X36" s="5"/>
      <c r="Y36" s="5"/>
      <c r="Z36" s="243" t="s">
        <v>327</v>
      </c>
      <c r="AA36" s="242" t="s">
        <v>284</v>
      </c>
      <c r="AB36" s="242" t="s">
        <v>328</v>
      </c>
      <c r="AC36" s="241" t="s">
        <v>293</v>
      </c>
      <c r="AD36" s="101" t="s">
        <v>327</v>
      </c>
      <c r="AE36" s="242" t="s">
        <v>284</v>
      </c>
      <c r="AF36" s="242" t="s">
        <v>328</v>
      </c>
      <c r="AG36" s="241" t="s">
        <v>293</v>
      </c>
      <c r="AH36" s="5"/>
      <c r="AI36" s="5"/>
      <c r="AJ36" s="5"/>
      <c r="AK36" s="5"/>
    </row>
    <row r="37" spans="1:37" x14ac:dyDescent="0.2">
      <c r="A37" s="5" t="s">
        <v>329</v>
      </c>
      <c r="B37" s="5"/>
      <c r="C37" s="5"/>
      <c r="D37" s="257">
        <v>32</v>
      </c>
      <c r="E37" s="5"/>
      <c r="F37" s="5">
        <v>12</v>
      </c>
      <c r="G37" s="809"/>
      <c r="H37" s="809"/>
      <c r="I37" s="809"/>
      <c r="J37" s="809"/>
      <c r="K37" s="5"/>
      <c r="L37" s="5"/>
      <c r="M37" s="5"/>
      <c r="N37" s="5"/>
      <c r="O37" s="256">
        <f>D41/O36</f>
        <v>24.265940280635178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243" t="s">
        <v>247</v>
      </c>
      <c r="AA37" s="101"/>
      <c r="AB37" s="101"/>
      <c r="AC37" s="241" t="s">
        <v>247</v>
      </c>
      <c r="AD37" s="101" t="s">
        <v>247</v>
      </c>
      <c r="AE37" s="101"/>
      <c r="AF37" s="101"/>
      <c r="AG37" s="241" t="s">
        <v>247</v>
      </c>
      <c r="AH37" s="5"/>
      <c r="AI37" s="5"/>
      <c r="AJ37" s="5"/>
      <c r="AK37" s="5"/>
    </row>
    <row r="38" spans="1:37" x14ac:dyDescent="0.2">
      <c r="A38" s="5" t="s">
        <v>330</v>
      </c>
      <c r="B38" s="5"/>
      <c r="C38" s="5"/>
      <c r="D38" s="216">
        <v>42</v>
      </c>
      <c r="E38" s="5"/>
      <c r="F38" s="5"/>
      <c r="G38" s="5"/>
      <c r="H38" s="216">
        <f>SUMPRODUCT(H25:H34,(J25:J34-I25:I34/2)/SUM(H25:H34))</f>
        <v>4458</v>
      </c>
      <c r="I38" s="5" t="s">
        <v>308</v>
      </c>
      <c r="J38" s="5"/>
      <c r="K38" s="5"/>
      <c r="L38" s="5"/>
      <c r="M38" s="5"/>
      <c r="N38" s="5"/>
      <c r="O38" s="5"/>
      <c r="P38" s="5"/>
      <c r="Q38" s="5"/>
      <c r="R38" s="64" t="s">
        <v>331</v>
      </c>
      <c r="S38" s="5">
        <f>2*PI()*D33*S34</f>
        <v>168440006.08197463</v>
      </c>
      <c r="T38" s="5"/>
      <c r="U38" s="5"/>
      <c r="V38" s="5"/>
      <c r="W38" s="5"/>
      <c r="X38" s="5"/>
      <c r="Y38" s="5"/>
      <c r="Z38" s="243" t="s">
        <v>332</v>
      </c>
      <c r="AA38" s="101">
        <f>0.09*AC38</f>
        <v>0</v>
      </c>
      <c r="AB38" s="101"/>
      <c r="AC38" s="241">
        <f>AC39*50/300</f>
        <v>0</v>
      </c>
      <c r="AD38" s="101">
        <v>2</v>
      </c>
      <c r="AE38" s="101">
        <f>0.05*AG38</f>
        <v>3675.6720000000005</v>
      </c>
      <c r="AF38" s="101"/>
      <c r="AG38" s="241">
        <f>D32*3.1416</f>
        <v>73513.440000000002</v>
      </c>
      <c r="AH38" s="5"/>
      <c r="AI38" s="5"/>
      <c r="AJ38" s="5"/>
      <c r="AK38" s="5"/>
    </row>
    <row r="39" spans="1:37" ht="23.25" customHeight="1" x14ac:dyDescent="0.35">
      <c r="A39" s="5" t="s">
        <v>333</v>
      </c>
      <c r="B39" s="5"/>
      <c r="C39" s="5"/>
      <c r="D39" s="216">
        <v>999</v>
      </c>
      <c r="E39" s="5" t="s">
        <v>334</v>
      </c>
      <c r="F39" s="5"/>
      <c r="G39" s="255" t="s">
        <v>335</v>
      </c>
      <c r="H39" s="5"/>
      <c r="I39" s="5"/>
      <c r="J39" s="5"/>
      <c r="K39" s="5"/>
      <c r="L39" s="5"/>
      <c r="M39" s="5"/>
      <c r="N39" s="5"/>
      <c r="O39" s="5">
        <f>D33-(D33^2-(O41/2)^2)^0.5</f>
        <v>1031.7929497815458</v>
      </c>
      <c r="P39" s="5"/>
      <c r="Q39" s="5"/>
      <c r="R39" s="64" t="s">
        <v>336</v>
      </c>
      <c r="S39" s="5">
        <f>D36-S38</f>
        <v>310015292.82054901</v>
      </c>
      <c r="T39" s="5"/>
      <c r="U39" s="5"/>
      <c r="V39" s="5"/>
      <c r="W39" s="5"/>
      <c r="X39" s="5"/>
      <c r="Y39" s="5"/>
      <c r="Z39" s="243" t="s">
        <v>79</v>
      </c>
      <c r="AA39" s="101">
        <f>0.33*AC39</f>
        <v>0</v>
      </c>
      <c r="AB39" s="101"/>
      <c r="AC39" s="241">
        <f>D33*(D96-0.2)*D95</f>
        <v>0</v>
      </c>
      <c r="AD39" s="101"/>
      <c r="AE39" s="101"/>
      <c r="AF39" s="101"/>
      <c r="AG39" s="241"/>
      <c r="AH39" s="5"/>
      <c r="AI39" s="5"/>
      <c r="AJ39" s="5"/>
      <c r="AK39" s="5"/>
    </row>
    <row r="40" spans="1:37" ht="13.5" customHeight="1" thickBot="1" x14ac:dyDescent="0.25">
      <c r="A40" s="64" t="s">
        <v>337</v>
      </c>
      <c r="B40" s="5"/>
      <c r="C40" s="5"/>
      <c r="D40" s="216">
        <v>1400</v>
      </c>
      <c r="E40" s="64" t="s">
        <v>247</v>
      </c>
      <c r="F40" s="5"/>
      <c r="G40" s="5" t="s">
        <v>338</v>
      </c>
      <c r="H40" s="5"/>
      <c r="I40" s="5"/>
      <c r="J40" s="5"/>
      <c r="K40" s="5"/>
      <c r="L40" s="219">
        <v>8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250" t="s">
        <v>79</v>
      </c>
      <c r="AA40" s="101">
        <f>0.33*AC40</f>
        <v>0</v>
      </c>
      <c r="AB40" s="101"/>
      <c r="AC40" s="253">
        <f>40*D95</f>
        <v>0</v>
      </c>
      <c r="AD40" s="251"/>
      <c r="AE40" s="251"/>
      <c r="AF40" s="251"/>
      <c r="AG40" s="253"/>
      <c r="AH40" s="5"/>
      <c r="AI40" s="5"/>
      <c r="AJ40" s="5"/>
      <c r="AK40" s="5"/>
    </row>
    <row r="41" spans="1:37" ht="15" customHeight="1" x14ac:dyDescent="0.2">
      <c r="A41" s="5" t="s">
        <v>339</v>
      </c>
      <c r="B41" s="5"/>
      <c r="C41" s="5"/>
      <c r="D41" s="5">
        <f>2*PI()*D33*D31</f>
        <v>478455298.90252364</v>
      </c>
      <c r="E41" s="5">
        <f>D41/1000000</f>
        <v>478.45529890252362</v>
      </c>
      <c r="F41" s="5"/>
      <c r="G41" s="5" t="s">
        <v>340</v>
      </c>
      <c r="H41" s="5"/>
      <c r="I41" s="5"/>
      <c r="J41" s="5"/>
      <c r="K41" s="5"/>
      <c r="L41" s="216">
        <v>300</v>
      </c>
      <c r="M41" s="5"/>
      <c r="N41" s="64" t="s">
        <v>320</v>
      </c>
      <c r="O41" s="5">
        <v>12485.026193053031</v>
      </c>
      <c r="P41" s="5"/>
      <c r="Q41" s="5"/>
      <c r="R41" s="64" t="s">
        <v>341</v>
      </c>
      <c r="S41" s="5">
        <f>D36/S38</f>
        <v>2.8405086774318566</v>
      </c>
      <c r="T41" s="5"/>
      <c r="U41" s="5"/>
      <c r="V41" s="5"/>
      <c r="W41" s="5"/>
      <c r="X41" s="5"/>
      <c r="Y41" s="5"/>
      <c r="Z41" s="943" t="s">
        <v>342</v>
      </c>
      <c r="AA41" s="848"/>
      <c r="AB41" s="848"/>
      <c r="AC41" s="865"/>
      <c r="AD41" s="943" t="s">
        <v>343</v>
      </c>
      <c r="AE41" s="848"/>
      <c r="AF41" s="848"/>
      <c r="AG41" s="865"/>
      <c r="AH41" s="5"/>
      <c r="AI41" s="5"/>
      <c r="AJ41" s="5"/>
      <c r="AK41" s="5"/>
    </row>
    <row r="42" spans="1:37" ht="25.5" customHeight="1" x14ac:dyDescent="0.2">
      <c r="A42" s="90" t="s">
        <v>344</v>
      </c>
      <c r="B42" s="258"/>
      <c r="C42" s="5"/>
      <c r="D42" s="5"/>
      <c r="E42" s="5"/>
      <c r="F42" s="5"/>
      <c r="G42" s="5" t="s">
        <v>345</v>
      </c>
      <c r="H42" s="5"/>
      <c r="I42" s="5"/>
      <c r="J42" s="5"/>
      <c r="K42" s="5"/>
      <c r="L42" s="216">
        <v>25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243" t="s">
        <v>327</v>
      </c>
      <c r="AA42" s="242" t="s">
        <v>284</v>
      </c>
      <c r="AB42" s="242" t="s">
        <v>328</v>
      </c>
      <c r="AC42" s="241" t="s">
        <v>293</v>
      </c>
      <c r="AD42" s="243" t="s">
        <v>327</v>
      </c>
      <c r="AE42" s="242" t="s">
        <v>284</v>
      </c>
      <c r="AF42" s="242" t="s">
        <v>328</v>
      </c>
      <c r="AG42" s="241" t="s">
        <v>293</v>
      </c>
      <c r="AH42" s="5"/>
      <c r="AI42" s="5"/>
      <c r="AJ42" s="5"/>
      <c r="AK42" s="5"/>
    </row>
    <row r="43" spans="1:37" x14ac:dyDescent="0.2">
      <c r="A43" s="5" t="s">
        <v>346</v>
      </c>
      <c r="B43" s="5"/>
      <c r="C43" s="5"/>
      <c r="D43" s="259">
        <f>+'Outer Tank Stiffeners'!B18</f>
        <v>2</v>
      </c>
      <c r="E43" s="5"/>
      <c r="F43" s="5"/>
      <c r="G43" s="5" t="s">
        <v>347</v>
      </c>
      <c r="H43" s="5"/>
      <c r="I43" s="5"/>
      <c r="J43" s="5"/>
      <c r="K43" s="5"/>
      <c r="L43" s="216">
        <v>380</v>
      </c>
      <c r="M43" s="5"/>
      <c r="N43" s="5"/>
      <c r="O43" s="256">
        <f>2*PI()*D33*O39-O36</f>
        <v>106052003.54263295</v>
      </c>
      <c r="P43" s="256">
        <f>D41-O43-O36</f>
        <v>352686140.64141715</v>
      </c>
      <c r="Q43" s="5"/>
      <c r="R43" s="5"/>
      <c r="S43" s="5"/>
      <c r="T43" s="5"/>
      <c r="U43" s="5"/>
      <c r="V43" s="5"/>
      <c r="W43" s="5"/>
      <c r="X43" s="5"/>
      <c r="Y43" s="5"/>
      <c r="Z43" s="243" t="s">
        <v>247</v>
      </c>
      <c r="AA43" s="101"/>
      <c r="AB43" s="101"/>
      <c r="AC43" s="241" t="s">
        <v>247</v>
      </c>
      <c r="AD43" s="243" t="s">
        <v>247</v>
      </c>
      <c r="AE43" s="101"/>
      <c r="AF43" s="101"/>
      <c r="AG43" s="241" t="s">
        <v>247</v>
      </c>
      <c r="AH43" s="5"/>
      <c r="AI43" s="5"/>
      <c r="AJ43" s="5"/>
      <c r="AK43" s="5"/>
    </row>
    <row r="44" spans="1:37" ht="18.75" customHeight="1" x14ac:dyDescent="0.2">
      <c r="A44" s="5" t="s">
        <v>348</v>
      </c>
      <c r="B44" s="5"/>
      <c r="C44" s="5"/>
      <c r="D44" s="223">
        <v>140</v>
      </c>
      <c r="E44" s="5"/>
      <c r="F44" s="5"/>
      <c r="G44" s="5" t="s">
        <v>349</v>
      </c>
      <c r="H44" s="5"/>
      <c r="I44" s="5"/>
      <c r="J44" s="5"/>
      <c r="K44" s="5"/>
      <c r="L44" s="260">
        <f>L43-L45</f>
        <v>240</v>
      </c>
      <c r="M44" s="5"/>
      <c r="N44" s="5"/>
      <c r="O44" s="256">
        <f>(D41-O36-I122)/(O43)</f>
        <v>3.345894942075756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243">
        <v>2</v>
      </c>
      <c r="AA44" s="101">
        <f>0.09*AC44</f>
        <v>1116.8388</v>
      </c>
      <c r="AB44" s="101"/>
      <c r="AC44" s="241">
        <f>D98*3.1416</f>
        <v>12409.32</v>
      </c>
      <c r="AD44" s="243"/>
      <c r="AE44" s="101">
        <f>0.1*2*AG44</f>
        <v>790</v>
      </c>
      <c r="AF44" s="101"/>
      <c r="AG44" s="241">
        <f>D98</f>
        <v>3950</v>
      </c>
      <c r="AH44" s="5"/>
      <c r="AI44" s="5"/>
      <c r="AJ44" s="5"/>
      <c r="AK44" s="5"/>
    </row>
    <row r="45" spans="1:37" ht="25.35" customHeight="1" thickBot="1" x14ac:dyDescent="0.25">
      <c r="A45" s="5" t="s">
        <v>350</v>
      </c>
      <c r="B45" s="5"/>
      <c r="C45" s="5"/>
      <c r="D45" s="223">
        <v>14</v>
      </c>
      <c r="E45" s="5"/>
      <c r="F45" s="5"/>
      <c r="G45" s="900" t="s">
        <v>351</v>
      </c>
      <c r="H45" s="809"/>
      <c r="I45" s="809"/>
      <c r="J45" s="809"/>
      <c r="K45" s="809"/>
      <c r="L45" s="216">
        <v>140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250" t="s">
        <v>79</v>
      </c>
      <c r="AA45" s="251">
        <f>0.33*AC45</f>
        <v>4095.0756000000001</v>
      </c>
      <c r="AB45" s="251"/>
      <c r="AC45" s="253">
        <f>AC44</f>
        <v>12409.32</v>
      </c>
      <c r="AD45" s="250"/>
      <c r="AE45" s="251"/>
      <c r="AF45" s="251"/>
      <c r="AG45" s="253"/>
      <c r="AH45" s="5"/>
      <c r="AI45" s="5"/>
      <c r="AJ45" s="5"/>
      <c r="AK45" s="5"/>
    </row>
    <row r="46" spans="1:37" ht="28.7" customHeight="1" x14ac:dyDescent="0.2">
      <c r="A46" s="5"/>
      <c r="B46" s="5"/>
      <c r="C46" s="5"/>
      <c r="D46" s="5"/>
      <c r="E46" s="5"/>
      <c r="F46" s="5"/>
      <c r="G46" s="933" t="s">
        <v>352</v>
      </c>
      <c r="H46" s="809"/>
      <c r="I46" s="809"/>
      <c r="J46" s="809"/>
      <c r="K46" s="809"/>
      <c r="L46" s="249">
        <v>90</v>
      </c>
      <c r="M46" s="5"/>
      <c r="N46" s="5"/>
      <c r="O46" s="5">
        <f>D33-(D33^2-(I120/2)^2)^0.5</f>
        <v>1884.1684293411054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943" t="s">
        <v>353</v>
      </c>
      <c r="AA46" s="848"/>
      <c r="AB46" s="848"/>
      <c r="AC46" s="865"/>
      <c r="AD46" s="942" t="s">
        <v>354</v>
      </c>
      <c r="AE46" s="848"/>
      <c r="AF46" s="848"/>
      <c r="AG46" s="865"/>
      <c r="AH46" s="5"/>
      <c r="AI46" s="5"/>
      <c r="AJ46" s="5"/>
      <c r="AK46" s="5"/>
    </row>
    <row r="47" spans="1:37" ht="25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243" t="s">
        <v>327</v>
      </c>
      <c r="AA47" s="242" t="s">
        <v>284</v>
      </c>
      <c r="AB47" s="242" t="s">
        <v>328</v>
      </c>
      <c r="AC47" s="241" t="s">
        <v>355</v>
      </c>
      <c r="AD47" s="101" t="s">
        <v>327</v>
      </c>
      <c r="AE47" s="242" t="s">
        <v>284</v>
      </c>
      <c r="AF47" s="242" t="s">
        <v>356</v>
      </c>
      <c r="AG47" s="241" t="s">
        <v>355</v>
      </c>
      <c r="AH47" s="5"/>
      <c r="AI47" s="5"/>
      <c r="AJ47" s="5"/>
      <c r="AK47" s="5"/>
    </row>
    <row r="48" spans="1:37" ht="15.75" customHeight="1" x14ac:dyDescent="0.25">
      <c r="A48" s="102" t="s">
        <v>357</v>
      </c>
      <c r="B48" s="5"/>
      <c r="C48" s="5"/>
      <c r="D48" s="5"/>
      <c r="E48" s="5"/>
      <c r="F48" s="5">
        <f>D50/4</f>
        <v>1800</v>
      </c>
      <c r="G48" s="118" t="s">
        <v>358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243" t="s">
        <v>247</v>
      </c>
      <c r="AA48" s="101"/>
      <c r="AB48" s="101"/>
      <c r="AC48" s="241" t="s">
        <v>247</v>
      </c>
      <c r="AD48" s="101" t="s">
        <v>247</v>
      </c>
      <c r="AE48" s="101"/>
      <c r="AF48" s="101" t="s">
        <v>247</v>
      </c>
      <c r="AG48" s="241" t="s">
        <v>247</v>
      </c>
      <c r="AH48" s="5"/>
      <c r="AI48" s="5"/>
      <c r="AJ48" s="5"/>
      <c r="AK48" s="5"/>
    </row>
    <row r="49" spans="1:37" x14ac:dyDescent="0.2">
      <c r="A49" s="5"/>
      <c r="B49" s="5"/>
      <c r="C49" s="5"/>
      <c r="D49" s="5"/>
      <c r="E49" s="5"/>
      <c r="F49" s="5">
        <f>390*(8/25.4)/((D51/330*D11/1000)^(1/2))*25.4</f>
        <v>956.00740250065701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243"/>
      <c r="AA49" s="101"/>
      <c r="AB49" s="101"/>
      <c r="AC49" s="241"/>
      <c r="AD49" s="101">
        <v>6</v>
      </c>
      <c r="AE49" s="101">
        <f>0.74*AG49</f>
        <v>0</v>
      </c>
      <c r="AF49" s="101">
        <f>AG49</f>
        <v>0</v>
      </c>
      <c r="AG49" s="101">
        <f>2*(I114+J114)*D110</f>
        <v>0</v>
      </c>
      <c r="AH49" s="5"/>
      <c r="AI49" s="5"/>
      <c r="AJ49" s="5"/>
      <c r="AK49" s="5"/>
    </row>
    <row r="50" spans="1:37" ht="13.5" customHeight="1" thickBot="1" x14ac:dyDescent="0.25">
      <c r="A50" s="5" t="s">
        <v>359</v>
      </c>
      <c r="B50" s="5"/>
      <c r="C50" s="5"/>
      <c r="D50" s="249">
        <v>7200</v>
      </c>
      <c r="E50" s="5" t="s">
        <v>247</v>
      </c>
      <c r="F50" s="5">
        <f>D50/D53</f>
        <v>0.34951456310679613</v>
      </c>
      <c r="G50" s="5"/>
      <c r="H50" s="14" t="s">
        <v>360</v>
      </c>
      <c r="I50" s="14" t="s">
        <v>361</v>
      </c>
      <c r="J50" s="14" t="s">
        <v>362</v>
      </c>
      <c r="K50" s="218" t="s">
        <v>363</v>
      </c>
      <c r="L50" s="5"/>
      <c r="M50" s="1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250" t="s">
        <v>364</v>
      </c>
      <c r="AA50" s="251">
        <f>0.18*AC50</f>
        <v>942.48</v>
      </c>
      <c r="AB50" s="251"/>
      <c r="AC50" s="253">
        <f>3.1416*D100/3</f>
        <v>5236</v>
      </c>
      <c r="AD50" s="251" t="s">
        <v>365</v>
      </c>
      <c r="AE50" s="251">
        <f>0.58*AG50</f>
        <v>0</v>
      </c>
      <c r="AF50" s="101">
        <f>AG50</f>
        <v>0</v>
      </c>
      <c r="AG50" s="101">
        <f>2*(I113+J113)*D110</f>
        <v>0</v>
      </c>
      <c r="AH50" s="5"/>
      <c r="AI50" s="5"/>
      <c r="AJ50" s="5"/>
      <c r="AK50" s="5"/>
    </row>
    <row r="51" spans="1:37" ht="13.5" customHeight="1" thickBot="1" x14ac:dyDescent="0.25">
      <c r="A51" s="5" t="s">
        <v>366</v>
      </c>
      <c r="B51" s="5"/>
      <c r="C51" s="5"/>
      <c r="D51" s="249">
        <f>D50-2850</f>
        <v>4350</v>
      </c>
      <c r="E51" s="5" t="s">
        <v>247</v>
      </c>
      <c r="F51" s="5">
        <f>D51/25.4</f>
        <v>171.25984251968504</v>
      </c>
      <c r="G51" s="5"/>
      <c r="H51" s="14" t="s">
        <v>247</v>
      </c>
      <c r="I51" s="14" t="s">
        <v>247</v>
      </c>
      <c r="J51" s="14" t="s">
        <v>247</v>
      </c>
      <c r="K51" s="218" t="s">
        <v>247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261"/>
      <c r="AA51" s="261"/>
      <c r="AB51" s="261"/>
      <c r="AC51" s="261"/>
      <c r="AD51" s="261"/>
      <c r="AE51" s="261"/>
      <c r="AF51" s="261"/>
      <c r="AG51" s="261"/>
      <c r="AH51" s="5"/>
      <c r="AI51" s="5"/>
      <c r="AJ51" s="5"/>
      <c r="AK51" s="5"/>
    </row>
    <row r="52" spans="1:37" ht="15.75" customHeight="1" thickBot="1" x14ac:dyDescent="0.25">
      <c r="A52" s="5" t="s">
        <v>316</v>
      </c>
      <c r="B52" s="5"/>
      <c r="C52" s="5"/>
      <c r="D52" s="5">
        <f>D54-(D54^2-(D53/2)^2)^0.5</f>
        <v>3238.2250389731253</v>
      </c>
      <c r="E52" s="5" t="s">
        <v>247</v>
      </c>
      <c r="F52" s="5">
        <f>D53/25.4</f>
        <v>811.02362204724409</v>
      </c>
      <c r="G52" s="5">
        <v>1</v>
      </c>
      <c r="H52" s="262"/>
      <c r="I52" s="263"/>
      <c r="J52" s="219">
        <f>'Inner Tank stiffeners 1'!D90</f>
        <v>1200</v>
      </c>
      <c r="K52" s="14"/>
      <c r="L52" s="264"/>
      <c r="M52" s="26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940" t="s">
        <v>367</v>
      </c>
      <c r="AA52" s="831"/>
      <c r="AB52" s="831"/>
      <c r="AC52" s="831"/>
      <c r="AD52" s="831"/>
      <c r="AE52" s="831"/>
      <c r="AF52" s="831"/>
      <c r="AG52" s="832"/>
      <c r="AH52" s="5"/>
      <c r="AI52" s="5"/>
      <c r="AJ52" s="5"/>
      <c r="AK52" s="5"/>
    </row>
    <row r="53" spans="1:37" ht="15" customHeight="1" x14ac:dyDescent="0.2">
      <c r="A53" s="5" t="s">
        <v>317</v>
      </c>
      <c r="B53" s="5"/>
      <c r="C53" s="5"/>
      <c r="D53" s="216">
        <v>20600</v>
      </c>
      <c r="E53" s="5" t="s">
        <v>247</v>
      </c>
      <c r="F53" s="5">
        <f>D53*0.88</f>
        <v>18128</v>
      </c>
      <c r="G53" s="5">
        <v>2</v>
      </c>
      <c r="H53" s="219"/>
      <c r="I53" s="263"/>
      <c r="J53" s="219">
        <f>'Inner Tank stiffeners 1'!D91</f>
        <v>1200</v>
      </c>
      <c r="K53" s="14"/>
      <c r="L53" s="264"/>
      <c r="M53" s="265"/>
      <c r="N53" s="5"/>
      <c r="O53" s="5"/>
      <c r="P53" s="5"/>
      <c r="Q53" s="5">
        <v>2264</v>
      </c>
      <c r="R53" s="5"/>
      <c r="S53" s="5"/>
      <c r="T53" s="5"/>
      <c r="U53" s="5"/>
      <c r="V53" s="5"/>
      <c r="W53" s="5"/>
      <c r="X53" s="5"/>
      <c r="Y53" s="5"/>
      <c r="Z53" s="943" t="s">
        <v>323</v>
      </c>
      <c r="AA53" s="848"/>
      <c r="AB53" s="848"/>
      <c r="AC53" s="865"/>
      <c r="AD53" s="942" t="s">
        <v>324</v>
      </c>
      <c r="AE53" s="848"/>
      <c r="AF53" s="848"/>
      <c r="AG53" s="865"/>
      <c r="AH53" s="5"/>
      <c r="AI53" s="5"/>
      <c r="AJ53" s="5"/>
      <c r="AK53" s="5"/>
    </row>
    <row r="54" spans="1:37" ht="17.45" customHeight="1" x14ac:dyDescent="0.2">
      <c r="A54" s="5" t="s">
        <v>318</v>
      </c>
      <c r="B54" s="5"/>
      <c r="C54" s="5"/>
      <c r="D54" s="216">
        <v>18000</v>
      </c>
      <c r="E54" s="5" t="s">
        <v>247</v>
      </c>
      <c r="F54" s="5">
        <f>D54/D53</f>
        <v>0.87378640776699024</v>
      </c>
      <c r="G54" s="5">
        <v>3</v>
      </c>
      <c r="H54" s="219"/>
      <c r="I54" s="263"/>
      <c r="J54" s="219">
        <f>'Inner Tank stiffeners 1'!D92</f>
        <v>1200</v>
      </c>
      <c r="K54" s="14"/>
      <c r="L54" s="264"/>
      <c r="M54" s="26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243" t="s">
        <v>327</v>
      </c>
      <c r="AA54" s="242" t="s">
        <v>284</v>
      </c>
      <c r="AB54" s="242" t="s">
        <v>356</v>
      </c>
      <c r="AC54" s="241" t="s">
        <v>293</v>
      </c>
      <c r="AD54" s="101" t="s">
        <v>327</v>
      </c>
      <c r="AE54" s="242" t="s">
        <v>284</v>
      </c>
      <c r="AF54" s="242" t="s">
        <v>356</v>
      </c>
      <c r="AG54" s="241" t="s">
        <v>293</v>
      </c>
      <c r="AH54" s="5"/>
      <c r="AI54" s="5"/>
      <c r="AJ54" s="5"/>
      <c r="AK54" s="5"/>
    </row>
    <row r="55" spans="1:37" x14ac:dyDescent="0.2">
      <c r="A55" s="5" t="s">
        <v>368</v>
      </c>
      <c r="B55" s="5"/>
      <c r="C55" s="5"/>
      <c r="D55" s="216">
        <v>10</v>
      </c>
      <c r="E55" s="5" t="s">
        <v>247</v>
      </c>
      <c r="F55" s="5"/>
      <c r="G55" s="5">
        <v>4</v>
      </c>
      <c r="H55" s="219"/>
      <c r="I55" s="263"/>
      <c r="J55" s="219">
        <f>'Inner Tank stiffeners 1'!D93</f>
        <v>1000</v>
      </c>
      <c r="K55" s="14"/>
      <c r="L55" s="264"/>
      <c r="M55" s="265"/>
      <c r="N55" s="5"/>
      <c r="O55" s="5"/>
      <c r="P55" s="5">
        <v>0.8</v>
      </c>
      <c r="Q55" s="5">
        <f>+D53*P55</f>
        <v>16480</v>
      </c>
      <c r="R55" s="5"/>
      <c r="S55" s="5"/>
      <c r="T55" s="5"/>
      <c r="U55" s="5"/>
      <c r="V55" s="5"/>
      <c r="W55" s="5"/>
      <c r="X55" s="5"/>
      <c r="Y55" s="5"/>
      <c r="Z55" s="243" t="s">
        <v>247</v>
      </c>
      <c r="AA55" s="101"/>
      <c r="AB55" s="101" t="s">
        <v>247</v>
      </c>
      <c r="AC55" s="241" t="s">
        <v>247</v>
      </c>
      <c r="AD55" s="101" t="s">
        <v>247</v>
      </c>
      <c r="AE55" s="101"/>
      <c r="AF55" s="101" t="s">
        <v>247</v>
      </c>
      <c r="AG55" s="241" t="s">
        <v>247</v>
      </c>
      <c r="AH55" s="5"/>
      <c r="AI55" s="5"/>
      <c r="AJ55" s="5"/>
      <c r="AK55" s="5"/>
    </row>
    <row r="56" spans="1:37" x14ac:dyDescent="0.2">
      <c r="A56" s="5" t="s">
        <v>369</v>
      </c>
      <c r="B56" s="5"/>
      <c r="C56" s="5"/>
      <c r="D56" s="216">
        <v>12</v>
      </c>
      <c r="E56" s="5" t="s">
        <v>247</v>
      </c>
      <c r="F56" s="5"/>
      <c r="G56" s="5">
        <v>5</v>
      </c>
      <c r="H56" s="219"/>
      <c r="I56" s="263"/>
      <c r="J56" s="219">
        <f>'Inner Tank stiffeners 1'!D94</f>
        <v>1000</v>
      </c>
      <c r="K56" s="14"/>
      <c r="L56" s="264"/>
      <c r="M56" s="265"/>
      <c r="N56" s="5"/>
      <c r="O56" s="5"/>
      <c r="P56" s="5">
        <v>0.85</v>
      </c>
      <c r="Q56" s="5">
        <f>+D53*P56</f>
        <v>17510</v>
      </c>
      <c r="R56" s="5"/>
      <c r="S56" s="5"/>
      <c r="T56" s="5"/>
      <c r="U56" s="5"/>
      <c r="V56" s="5"/>
      <c r="W56" s="5"/>
      <c r="X56" s="5"/>
      <c r="Y56" s="5"/>
      <c r="Z56" s="243">
        <v>2</v>
      </c>
      <c r="AA56" s="101">
        <f>AC56*0.1</f>
        <v>19326.501454385998</v>
      </c>
      <c r="AB56" s="101">
        <f>AC56</f>
        <v>193265.01454385996</v>
      </c>
      <c r="AC56" s="241">
        <f>(D96-0.2)*D113*D54</f>
        <v>193265.01454385996</v>
      </c>
      <c r="AD56" s="101">
        <v>2</v>
      </c>
      <c r="AE56" s="101">
        <f>AG56*0.09</f>
        <v>0</v>
      </c>
      <c r="AF56" s="101">
        <f>AG56</f>
        <v>0</v>
      </c>
      <c r="AG56" s="241">
        <f>3.1416*D107*2</f>
        <v>0</v>
      </c>
      <c r="AH56" s="5"/>
      <c r="AI56" s="5"/>
      <c r="AJ56" s="5"/>
      <c r="AK56" s="5"/>
    </row>
    <row r="57" spans="1:37" x14ac:dyDescent="0.2">
      <c r="A57" s="5" t="s">
        <v>370</v>
      </c>
      <c r="B57" s="5"/>
      <c r="C57" s="5"/>
      <c r="D57" s="5">
        <f>(D53/1000)^2*PI()/4*(D51)/1000</f>
        <v>1449.8183060941342</v>
      </c>
      <c r="E57" s="5"/>
      <c r="F57" s="266">
        <f>(D53/1000)^2*PI()/4*(D51)/1000*0.9966^3</f>
        <v>1435.0803820871708</v>
      </c>
      <c r="G57" s="5">
        <v>6</v>
      </c>
      <c r="H57" s="219"/>
      <c r="I57" s="263"/>
      <c r="J57" s="219">
        <f>'Inner Tank stiffeners 1'!D95</f>
        <v>1200</v>
      </c>
      <c r="K57" s="14"/>
      <c r="L57" s="264"/>
      <c r="M57" s="26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243">
        <v>4</v>
      </c>
      <c r="AA57" s="101">
        <f>AC57*0.32</f>
        <v>61844.804654035186</v>
      </c>
      <c r="AB57" s="101" t="s">
        <v>3</v>
      </c>
      <c r="AC57" s="241">
        <f>(D96-0.2)*D113*D54</f>
        <v>193265.01454385996</v>
      </c>
      <c r="AD57" s="101">
        <v>4</v>
      </c>
      <c r="AE57" s="101">
        <f>AG57*0.28</f>
        <v>0</v>
      </c>
      <c r="AF57" s="101">
        <f>AG57</f>
        <v>0</v>
      </c>
      <c r="AG57" s="241">
        <f>3.1416*D107*2</f>
        <v>0</v>
      </c>
      <c r="AH57" s="5"/>
      <c r="AI57" s="5"/>
      <c r="AJ57" s="5"/>
      <c r="AK57" s="5"/>
    </row>
    <row r="58" spans="1:37" ht="13.5" customHeight="1" thickBot="1" x14ac:dyDescent="0.25">
      <c r="A58" s="64" t="s">
        <v>371</v>
      </c>
      <c r="B58" s="5"/>
      <c r="C58" s="5"/>
      <c r="D58" s="5">
        <f>2*PI()*D54*D52</f>
        <v>366234623.75190574</v>
      </c>
      <c r="E58" s="5"/>
      <c r="F58" s="5">
        <f>PI()*D52^2/3*(3*D54-D52)/1000000000</f>
        <v>557.41605140501383</v>
      </c>
      <c r="G58" s="5">
        <v>7</v>
      </c>
      <c r="H58" s="219"/>
      <c r="I58" s="263"/>
      <c r="J58" s="219">
        <f>'Inner Tank stiffeners 1'!D96</f>
        <v>1200</v>
      </c>
      <c r="K58" s="14"/>
      <c r="L58" s="264"/>
      <c r="M58" s="26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250"/>
      <c r="AA58" s="251"/>
      <c r="AB58" s="251"/>
      <c r="AC58" s="253"/>
      <c r="AD58" s="251" t="s">
        <v>372</v>
      </c>
      <c r="AE58" s="251">
        <f>AG58*(0.44+0.1)</f>
        <v>34947.1584</v>
      </c>
      <c r="AF58" s="101">
        <f>AG58</f>
        <v>64716.959999999999</v>
      </c>
      <c r="AG58" s="253">
        <f>3.1416*D53</f>
        <v>64716.959999999999</v>
      </c>
      <c r="AH58" s="5"/>
      <c r="AI58" s="5"/>
      <c r="AJ58" s="5"/>
      <c r="AK58" s="5"/>
    </row>
    <row r="59" spans="1:37" ht="13.5" customHeight="1" thickBot="1" x14ac:dyDescent="0.25">
      <c r="A59" s="64" t="s">
        <v>373</v>
      </c>
      <c r="B59" s="5"/>
      <c r="C59" s="5"/>
      <c r="D59" s="5">
        <f>+PI()*(D53*0.001)^2/4</f>
        <v>333.29156461934122</v>
      </c>
      <c r="E59" s="5"/>
      <c r="F59" s="5"/>
      <c r="G59" s="5"/>
      <c r="H59" s="219"/>
      <c r="I59" s="263"/>
      <c r="J59" s="219"/>
      <c r="K59" s="14"/>
      <c r="L59" s="264"/>
      <c r="M59" s="26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243"/>
      <c r="AA59" s="101"/>
      <c r="AB59" s="101"/>
      <c r="AC59" s="241"/>
      <c r="AD59" s="101"/>
      <c r="AE59" s="101"/>
      <c r="AF59" s="101"/>
      <c r="AG59" s="241"/>
      <c r="AH59" s="5"/>
      <c r="AI59" s="5"/>
      <c r="AJ59" s="5"/>
      <c r="AK59" s="5"/>
    </row>
    <row r="60" spans="1:37" ht="15" customHeight="1" x14ac:dyDescent="0.2">
      <c r="A60" s="64" t="s">
        <v>374</v>
      </c>
      <c r="B60" s="5"/>
      <c r="C60" s="5"/>
      <c r="D60" s="5">
        <f>2*D52/3</f>
        <v>2158.8166926487502</v>
      </c>
      <c r="E60" s="5"/>
      <c r="F60" s="5"/>
      <c r="G60" s="5">
        <v>8</v>
      </c>
      <c r="H60" s="219"/>
      <c r="I60" s="263"/>
      <c r="J60" s="219">
        <f>'Inner Tank stiffeners 1'!D97</f>
        <v>0</v>
      </c>
      <c r="K60" s="14"/>
      <c r="L60" s="264"/>
      <c r="M60" s="26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944" t="s">
        <v>342</v>
      </c>
      <c r="AA60" s="809"/>
      <c r="AB60" s="809"/>
      <c r="AC60" s="826"/>
      <c r="AD60" s="943" t="s">
        <v>343</v>
      </c>
      <c r="AE60" s="848"/>
      <c r="AF60" s="848"/>
      <c r="AG60" s="865"/>
      <c r="AH60" s="5"/>
      <c r="AI60" s="5"/>
      <c r="AJ60" s="5"/>
      <c r="AK60" s="5"/>
    </row>
    <row r="61" spans="1:37" ht="25.5" customHeight="1" x14ac:dyDescent="0.2">
      <c r="A61" s="5" t="s">
        <v>375</v>
      </c>
      <c r="B61" s="5"/>
      <c r="C61" s="5"/>
      <c r="D61" s="249">
        <v>60</v>
      </c>
      <c r="E61" s="5"/>
      <c r="F61" s="5">
        <f>D53*PI()/D61</f>
        <v>1078.6134777324958</v>
      </c>
      <c r="G61" s="5">
        <v>9</v>
      </c>
      <c r="H61" s="219"/>
      <c r="I61" s="263"/>
      <c r="J61" s="219">
        <f>'Inner Tank stiffeners 1'!D98</f>
        <v>0</v>
      </c>
      <c r="K61" s="14"/>
      <c r="L61" s="264"/>
      <c r="M61" s="26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243" t="s">
        <v>327</v>
      </c>
      <c r="AA61" s="242" t="s">
        <v>284</v>
      </c>
      <c r="AB61" s="242" t="s">
        <v>376</v>
      </c>
      <c r="AC61" s="241" t="s">
        <v>293</v>
      </c>
      <c r="AD61" s="243" t="s">
        <v>327</v>
      </c>
      <c r="AE61" s="242" t="s">
        <v>284</v>
      </c>
      <c r="AF61" s="242" t="s">
        <v>356</v>
      </c>
      <c r="AG61" s="241" t="s">
        <v>293</v>
      </c>
      <c r="AH61" s="5"/>
      <c r="AI61" s="5"/>
      <c r="AJ61" s="5"/>
      <c r="AK61" s="5"/>
    </row>
    <row r="62" spans="1:37" x14ac:dyDescent="0.2">
      <c r="A62" s="14"/>
      <c r="B62" s="14"/>
      <c r="C62" s="14" t="s">
        <v>377</v>
      </c>
      <c r="D62" s="14" t="s">
        <v>378</v>
      </c>
      <c r="E62" s="14" t="s">
        <v>379</v>
      </c>
      <c r="F62" s="14" t="s">
        <v>327</v>
      </c>
      <c r="G62" s="5"/>
      <c r="H62" s="219"/>
      <c r="I62" s="263"/>
      <c r="J62" s="219">
        <f>'Inner Tank stiffeners 1'!D99</f>
        <v>0</v>
      </c>
      <c r="K62" s="14"/>
      <c r="L62" s="264"/>
      <c r="M62" s="26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243" t="s">
        <v>247</v>
      </c>
      <c r="AA62" s="101"/>
      <c r="AB62" s="101" t="s">
        <v>380</v>
      </c>
      <c r="AC62" s="241" t="s">
        <v>247</v>
      </c>
      <c r="AD62" s="243" t="s">
        <v>247</v>
      </c>
      <c r="AE62" s="101"/>
      <c r="AF62" s="101" t="s">
        <v>247</v>
      </c>
      <c r="AG62" s="241" t="s">
        <v>247</v>
      </c>
      <c r="AH62" s="5"/>
      <c r="AI62" s="5"/>
      <c r="AJ62" s="5"/>
      <c r="AK62" s="5"/>
    </row>
    <row r="63" spans="1:37" x14ac:dyDescent="0.2">
      <c r="A63" s="14" t="s">
        <v>381</v>
      </c>
      <c r="B63" s="14" t="s">
        <v>382</v>
      </c>
      <c r="C63" s="14">
        <f>$D$61</f>
        <v>60</v>
      </c>
      <c r="D63" s="219">
        <v>220</v>
      </c>
      <c r="E63" s="219">
        <v>220</v>
      </c>
      <c r="F63" s="219">
        <v>30</v>
      </c>
      <c r="G63" s="5"/>
      <c r="H63" s="14"/>
      <c r="I63" s="263"/>
      <c r="J63" s="14"/>
      <c r="K63" s="14"/>
      <c r="L63" s="14"/>
      <c r="M63" s="26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243">
        <v>2</v>
      </c>
      <c r="AA63" s="101">
        <f>AC63*0.09</f>
        <v>1116.8388</v>
      </c>
      <c r="AB63" s="101" t="s">
        <v>3</v>
      </c>
      <c r="AC63" s="241">
        <f>3.1416*D98</f>
        <v>12409.32</v>
      </c>
      <c r="AD63" s="243"/>
      <c r="AE63" s="101">
        <f>0.06*2*AG63</f>
        <v>474</v>
      </c>
      <c r="AF63" s="101">
        <f>AG63</f>
        <v>3950</v>
      </c>
      <c r="AG63" s="241">
        <f>D98</f>
        <v>3950</v>
      </c>
      <c r="AH63" s="5"/>
      <c r="AI63" s="5"/>
      <c r="AJ63" s="5"/>
      <c r="AK63" s="5"/>
    </row>
    <row r="64" spans="1:37" ht="13.5" customHeight="1" thickBot="1" x14ac:dyDescent="0.25">
      <c r="A64" s="14"/>
      <c r="B64" s="14" t="s">
        <v>383</v>
      </c>
      <c r="C64" s="14">
        <f>$D$61</f>
        <v>60</v>
      </c>
      <c r="D64" s="244">
        <v>120</v>
      </c>
      <c r="E64" s="244">
        <v>16</v>
      </c>
      <c r="F64" s="219">
        <v>2700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243">
        <v>4</v>
      </c>
      <c r="AA64" s="101">
        <f>AC64*0.28</f>
        <v>3474.6096000000002</v>
      </c>
      <c r="AB64" s="101">
        <f>AC64</f>
        <v>12409.32</v>
      </c>
      <c r="AC64" s="241">
        <f>2*3.1416*D98/2</f>
        <v>12409.32</v>
      </c>
      <c r="AD64" s="250"/>
      <c r="AE64" s="251"/>
      <c r="AF64" s="251"/>
      <c r="AG64" s="253"/>
      <c r="AH64" s="5"/>
      <c r="AI64" s="5"/>
      <c r="AJ64" s="5"/>
      <c r="AK64" s="5"/>
    </row>
    <row r="65" spans="1:37" ht="15" customHeight="1" x14ac:dyDescent="0.2">
      <c r="A65" s="69" t="s">
        <v>276</v>
      </c>
      <c r="B65" s="14"/>
      <c r="C65" s="244">
        <v>15</v>
      </c>
      <c r="D65" s="14"/>
      <c r="E65" s="5" t="s">
        <v>333</v>
      </c>
      <c r="F65" s="5">
        <f>D64*E64</f>
        <v>1920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943" t="s">
        <v>384</v>
      </c>
      <c r="AA65" s="848"/>
      <c r="AB65" s="848"/>
      <c r="AC65" s="865"/>
      <c r="AD65" s="943" t="s">
        <v>354</v>
      </c>
      <c r="AE65" s="848"/>
      <c r="AF65" s="848"/>
      <c r="AG65" s="865"/>
      <c r="AH65" s="5"/>
      <c r="AI65" s="5"/>
      <c r="AJ65" s="5"/>
      <c r="AK65" s="5"/>
    </row>
    <row r="66" spans="1:37" ht="25.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243" t="s">
        <v>327</v>
      </c>
      <c r="AA66" s="242" t="s">
        <v>284</v>
      </c>
      <c r="AB66" s="242" t="s">
        <v>376</v>
      </c>
      <c r="AC66" s="241" t="s">
        <v>293</v>
      </c>
      <c r="AD66" s="243" t="s">
        <v>327</v>
      </c>
      <c r="AE66" s="242" t="s">
        <v>284</v>
      </c>
      <c r="AF66" s="242" t="s">
        <v>356</v>
      </c>
      <c r="AG66" s="241" t="s">
        <v>385</v>
      </c>
      <c r="AH66" s="5"/>
      <c r="AI66" s="5"/>
      <c r="AJ66" s="5"/>
      <c r="AK66" s="5"/>
    </row>
    <row r="67" spans="1:37" ht="18" customHeight="1" x14ac:dyDescent="0.25">
      <c r="A67" s="246" t="s">
        <v>386</v>
      </c>
      <c r="B67" s="221"/>
      <c r="C67" s="222"/>
      <c r="D67" s="22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243" t="s">
        <v>247</v>
      </c>
      <c r="AA67" s="101"/>
      <c r="AB67" s="101" t="s">
        <v>380</v>
      </c>
      <c r="AC67" s="241" t="s">
        <v>247</v>
      </c>
      <c r="AD67" s="243" t="s">
        <v>247</v>
      </c>
      <c r="AE67" s="101"/>
      <c r="AF67" s="101" t="s">
        <v>247</v>
      </c>
      <c r="AG67" s="241" t="s">
        <v>247</v>
      </c>
      <c r="AH67" s="5"/>
      <c r="AI67" s="5"/>
      <c r="AJ67" s="5"/>
      <c r="AK67" s="5"/>
    </row>
    <row r="68" spans="1:37" x14ac:dyDescent="0.2">
      <c r="A68" s="5" t="s">
        <v>346</v>
      </c>
      <c r="B68" s="5"/>
      <c r="C68" s="5"/>
      <c r="D68" s="267">
        <f>+'Inner Tank stiffeners 1'!B34</f>
        <v>6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945"/>
      <c r="AA68" s="946">
        <f>0.34*2*AC68</f>
        <v>0</v>
      </c>
      <c r="AB68" s="101">
        <f>ROUNDUP(AC68*0.25/350,0)</f>
        <v>0</v>
      </c>
      <c r="AC68" s="947">
        <f>D111*D112</f>
        <v>0</v>
      </c>
      <c r="AD68" s="243">
        <v>7</v>
      </c>
      <c r="AE68" s="101">
        <f>AG68*0.89</f>
        <v>0</v>
      </c>
      <c r="AF68" s="101">
        <f>2*AG68</f>
        <v>0</v>
      </c>
      <c r="AG68" s="241">
        <f>2*(I110+J110)*D110</f>
        <v>0</v>
      </c>
      <c r="AH68" s="5"/>
      <c r="AI68" s="5"/>
      <c r="AJ68" s="5"/>
      <c r="AK68" s="5"/>
    </row>
    <row r="69" spans="1:37" ht="13.5" customHeight="1" thickBot="1" x14ac:dyDescent="0.25">
      <c r="A69" s="5" t="s">
        <v>387</v>
      </c>
      <c r="B69" s="5"/>
      <c r="C69" s="5"/>
      <c r="D69" s="268">
        <f>D53+D72*2+2*D71+2*H7</f>
        <v>20856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867"/>
      <c r="AA69" s="828"/>
      <c r="AB69" s="269">
        <f>AC68-AB68*350</f>
        <v>0</v>
      </c>
      <c r="AC69" s="829"/>
      <c r="AD69" s="250">
        <v>6</v>
      </c>
      <c r="AE69" s="251">
        <f>AG69*0.66</f>
        <v>0</v>
      </c>
      <c r="AF69" s="251">
        <f>3*AG69</f>
        <v>0</v>
      </c>
      <c r="AG69" s="253">
        <f>2*(I109+J109)*D110</f>
        <v>0</v>
      </c>
      <c r="AH69" s="5"/>
      <c r="AI69" s="5"/>
      <c r="AJ69" s="5"/>
      <c r="AK69" s="5"/>
    </row>
    <row r="70" spans="1:37" ht="13.5" customHeight="1" thickBot="1" x14ac:dyDescent="0.25">
      <c r="A70" s="5" t="s">
        <v>388</v>
      </c>
      <c r="B70" s="5"/>
      <c r="C70" s="5"/>
      <c r="D70" s="223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101"/>
      <c r="AA70" s="101"/>
      <c r="AB70" s="101"/>
      <c r="AC70" s="101"/>
      <c r="AD70" s="101"/>
      <c r="AE70" s="101"/>
      <c r="AF70" s="101"/>
      <c r="AG70" s="101"/>
      <c r="AH70" s="5"/>
      <c r="AI70" s="5"/>
      <c r="AJ70" s="5"/>
      <c r="AK70" s="5"/>
    </row>
    <row r="71" spans="1:37" ht="15.75" customHeight="1" thickBot="1" x14ac:dyDescent="0.25">
      <c r="A71" s="5" t="s">
        <v>389</v>
      </c>
      <c r="B71" s="5"/>
      <c r="C71" s="5"/>
      <c r="D71" s="22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940" t="s">
        <v>390</v>
      </c>
      <c r="AA71" s="831"/>
      <c r="AB71" s="831"/>
      <c r="AC71" s="831"/>
      <c r="AD71" s="831"/>
      <c r="AE71" s="831"/>
      <c r="AF71" s="831"/>
      <c r="AG71" s="832"/>
      <c r="AH71" s="5"/>
      <c r="AI71" s="5"/>
      <c r="AJ71" s="5"/>
      <c r="AK71" s="5"/>
    </row>
    <row r="72" spans="1:37" ht="15" customHeight="1" x14ac:dyDescent="0.2">
      <c r="A72" s="5" t="s">
        <v>391</v>
      </c>
      <c r="B72" s="5"/>
      <c r="C72" s="5"/>
      <c r="D72" s="259">
        <v>120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943" t="s">
        <v>392</v>
      </c>
      <c r="AA72" s="848"/>
      <c r="AB72" s="848"/>
      <c r="AC72" s="865"/>
      <c r="AD72" s="943" t="s">
        <v>393</v>
      </c>
      <c r="AE72" s="848"/>
      <c r="AF72" s="848"/>
      <c r="AG72" s="865"/>
      <c r="AH72" s="5"/>
      <c r="AI72" s="5"/>
      <c r="AJ72" s="5"/>
      <c r="AK72" s="5"/>
    </row>
    <row r="73" spans="1:37" ht="25.5" customHeight="1" x14ac:dyDescent="0.2">
      <c r="A73" s="5" t="s">
        <v>394</v>
      </c>
      <c r="B73" s="5"/>
      <c r="C73" s="5"/>
      <c r="D73" s="223">
        <v>10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243" t="s">
        <v>327</v>
      </c>
      <c r="AA73" s="242" t="s">
        <v>284</v>
      </c>
      <c r="AB73" s="242" t="s">
        <v>376</v>
      </c>
      <c r="AC73" s="241" t="s">
        <v>293</v>
      </c>
      <c r="AD73" s="243" t="s">
        <v>327</v>
      </c>
      <c r="AE73" s="242" t="s">
        <v>284</v>
      </c>
      <c r="AF73" s="242" t="s">
        <v>286</v>
      </c>
      <c r="AG73" s="241" t="s">
        <v>293</v>
      </c>
      <c r="AH73" s="5"/>
      <c r="AI73" s="5"/>
      <c r="AJ73" s="5"/>
      <c r="AK73" s="5"/>
    </row>
    <row r="74" spans="1:37" x14ac:dyDescent="0.2">
      <c r="A74" s="5" t="s">
        <v>395</v>
      </c>
      <c r="B74" s="5"/>
      <c r="C74" s="5"/>
      <c r="D74" s="5">
        <f>D70*D71+D72*D73</f>
        <v>1200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243" t="s">
        <v>247</v>
      </c>
      <c r="AA74" s="101"/>
      <c r="AB74" s="101" t="s">
        <v>380</v>
      </c>
      <c r="AC74" s="241" t="s">
        <v>247</v>
      </c>
      <c r="AD74" s="243" t="s">
        <v>247</v>
      </c>
      <c r="AE74" s="101"/>
      <c r="AF74" s="101"/>
      <c r="AG74" s="241" t="s">
        <v>247</v>
      </c>
      <c r="AH74" s="5"/>
      <c r="AI74" s="5"/>
      <c r="AJ74" s="5"/>
      <c r="AK74" s="5"/>
    </row>
    <row r="75" spans="1:37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243" t="s">
        <v>74</v>
      </c>
      <c r="AA75" s="101">
        <f>AC75*0.25</f>
        <v>-1068.144</v>
      </c>
      <c r="AB75" s="101" t="s">
        <v>3</v>
      </c>
      <c r="AC75" s="241">
        <f>(D114/2-730+50)*2*3.1416</f>
        <v>-4272.576</v>
      </c>
      <c r="AD75" s="243"/>
      <c r="AE75" s="101">
        <f>0.49*AG75</f>
        <v>0</v>
      </c>
      <c r="AF75" s="245">
        <f>ROUNDUP(AG75*0.25/350,0)</f>
        <v>0</v>
      </c>
      <c r="AG75" s="241">
        <f>730*D108</f>
        <v>0</v>
      </c>
      <c r="AH75" s="5"/>
      <c r="AI75" s="5"/>
      <c r="AJ75" s="5"/>
      <c r="AK75" s="5"/>
    </row>
    <row r="76" spans="1:37" ht="13.5" customHeight="1" thickBo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250">
        <v>6</v>
      </c>
      <c r="AA76" s="251">
        <f>AC76*0.66</f>
        <v>85426.387199999997</v>
      </c>
      <c r="AB76" s="251">
        <f>AC76</f>
        <v>129433.92</v>
      </c>
      <c r="AC76" s="253">
        <f>D53*2*3.1416</f>
        <v>129433.92</v>
      </c>
      <c r="AD76" s="250"/>
      <c r="AE76" s="251"/>
      <c r="AF76" s="251"/>
      <c r="AG76" s="253"/>
      <c r="AH76" s="5"/>
      <c r="AI76" s="5"/>
      <c r="AJ76" s="5"/>
      <c r="AK76" s="5"/>
    </row>
    <row r="77" spans="1:37" ht="1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943" t="s">
        <v>396</v>
      </c>
      <c r="AA77" s="848"/>
      <c r="AB77" s="848"/>
      <c r="AC77" s="865"/>
      <c r="AD77" s="101"/>
      <c r="AE77" s="101"/>
      <c r="AF77" s="101"/>
      <c r="AG77" s="101"/>
      <c r="AH77" s="5"/>
      <c r="AI77" s="5"/>
      <c r="AJ77" s="5"/>
      <c r="AK77" s="5"/>
    </row>
    <row r="78" spans="1:37" ht="25.5" customHeight="1" x14ac:dyDescent="0.25">
      <c r="A78" s="134" t="s">
        <v>397</v>
      </c>
      <c r="B78" s="13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243" t="s">
        <v>327</v>
      </c>
      <c r="AA78" s="242" t="s">
        <v>284</v>
      </c>
      <c r="AB78" s="242" t="s">
        <v>376</v>
      </c>
      <c r="AC78" s="241" t="s">
        <v>293</v>
      </c>
      <c r="AD78" s="101"/>
      <c r="AE78" s="101"/>
      <c r="AF78" s="101"/>
      <c r="AG78" s="101"/>
      <c r="AH78" s="5"/>
      <c r="AI78" s="5"/>
      <c r="AJ78" s="5"/>
      <c r="AK78" s="5"/>
    </row>
    <row r="79" spans="1:37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243" t="s">
        <v>247</v>
      </c>
      <c r="AA79" s="101"/>
      <c r="AB79" s="101" t="s">
        <v>380</v>
      </c>
      <c r="AC79" s="241" t="s">
        <v>247</v>
      </c>
      <c r="AD79" s="101"/>
      <c r="AE79" s="101"/>
      <c r="AF79" s="101"/>
      <c r="AG79" s="101"/>
      <c r="AH79" s="5"/>
      <c r="AI79" s="5"/>
      <c r="AJ79" s="5"/>
      <c r="AK79" s="5"/>
    </row>
    <row r="80" spans="1:37" ht="13.5" customHeight="1" thickBot="1" x14ac:dyDescent="0.25">
      <c r="A80" s="248" t="s">
        <v>398</v>
      </c>
      <c r="B80" s="5"/>
      <c r="C80" s="5"/>
      <c r="D80" s="5"/>
      <c r="E80" s="5">
        <f>E81-E85</f>
        <v>650</v>
      </c>
      <c r="F80" s="5" t="s">
        <v>247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250"/>
      <c r="AA80" s="251">
        <f>AC80*0.15</f>
        <v>0</v>
      </c>
      <c r="AB80" s="251" t="s">
        <v>3</v>
      </c>
      <c r="AC80" s="253">
        <f>2*(J95+J96)*J98</f>
        <v>0</v>
      </c>
      <c r="AD80" s="101"/>
      <c r="AE80" s="101"/>
      <c r="AF80" s="101"/>
      <c r="AG80" s="101"/>
      <c r="AH80" s="5"/>
      <c r="AI80" s="5"/>
      <c r="AJ80" s="5"/>
      <c r="AK80" s="5"/>
    </row>
    <row r="81" spans="1:37" ht="13.5" customHeight="1" thickBot="1" x14ac:dyDescent="0.25">
      <c r="A81" s="5" t="s">
        <v>399</v>
      </c>
      <c r="B81" s="5"/>
      <c r="C81" s="5"/>
      <c r="D81" s="5"/>
      <c r="E81" s="216">
        <v>800</v>
      </c>
      <c r="F81" s="5" t="s">
        <v>247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101"/>
      <c r="AA81" s="101"/>
      <c r="AB81" s="101"/>
      <c r="AC81" s="101"/>
      <c r="AD81" s="101"/>
      <c r="AE81" s="101"/>
      <c r="AF81" s="101"/>
      <c r="AG81" s="101"/>
      <c r="AH81" s="5"/>
      <c r="AI81" s="5"/>
      <c r="AJ81" s="5"/>
      <c r="AK81" s="5"/>
    </row>
    <row r="82" spans="1:37" ht="15.75" customHeight="1" thickBot="1" x14ac:dyDescent="0.25">
      <c r="A82" s="5" t="s">
        <v>400</v>
      </c>
      <c r="B82" s="5"/>
      <c r="C82" s="5"/>
      <c r="D82" s="5"/>
      <c r="E82" s="5">
        <f>E81+E84+E83</f>
        <v>1000</v>
      </c>
      <c r="F82" s="5" t="s">
        <v>247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940" t="s">
        <v>401</v>
      </c>
      <c r="AA82" s="831"/>
      <c r="AB82" s="831"/>
      <c r="AC82" s="831"/>
      <c r="AD82" s="831"/>
      <c r="AE82" s="831"/>
      <c r="AF82" s="831"/>
      <c r="AG82" s="832"/>
      <c r="AH82" s="5"/>
      <c r="AI82" s="5"/>
      <c r="AJ82" s="5"/>
      <c r="AK82" s="5"/>
    </row>
    <row r="83" spans="1:37" ht="15" customHeight="1" x14ac:dyDescent="0.2">
      <c r="A83" s="5" t="s">
        <v>402</v>
      </c>
      <c r="B83" s="5"/>
      <c r="C83" s="5"/>
      <c r="D83" s="5"/>
      <c r="E83" s="216">
        <v>100</v>
      </c>
      <c r="F83" s="5" t="s">
        <v>247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943" t="s">
        <v>403</v>
      </c>
      <c r="AA83" s="848"/>
      <c r="AB83" s="848"/>
      <c r="AC83" s="865"/>
      <c r="AD83" s="943" t="s">
        <v>404</v>
      </c>
      <c r="AE83" s="848"/>
      <c r="AF83" s="848"/>
      <c r="AG83" s="865"/>
      <c r="AH83" s="5"/>
      <c r="AI83" s="5"/>
      <c r="AJ83" s="5"/>
      <c r="AK83" s="5"/>
    </row>
    <row r="84" spans="1:37" ht="25.5" customHeight="1" x14ac:dyDescent="0.2">
      <c r="A84" s="5" t="s">
        <v>405</v>
      </c>
      <c r="B84" s="5"/>
      <c r="C84" s="5"/>
      <c r="D84" s="5"/>
      <c r="E84" s="216">
        <v>100</v>
      </c>
      <c r="F84" s="5" t="s">
        <v>247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243" t="s">
        <v>327</v>
      </c>
      <c r="AA84" s="242" t="s">
        <v>284</v>
      </c>
      <c r="AB84" s="242" t="s">
        <v>376</v>
      </c>
      <c r="AC84" s="241" t="s">
        <v>293</v>
      </c>
      <c r="AD84" s="243" t="s">
        <v>327</v>
      </c>
      <c r="AE84" s="242" t="s">
        <v>284</v>
      </c>
      <c r="AF84" s="242" t="s">
        <v>356</v>
      </c>
      <c r="AG84" s="241" t="s">
        <v>293</v>
      </c>
      <c r="AH84" s="5"/>
      <c r="AI84" s="5"/>
      <c r="AJ84" s="5"/>
      <c r="AK84" s="5"/>
    </row>
    <row r="85" spans="1:37" x14ac:dyDescent="0.2">
      <c r="A85" s="5" t="s">
        <v>406</v>
      </c>
      <c r="B85" s="5"/>
      <c r="C85" s="5"/>
      <c r="D85" s="5"/>
      <c r="E85" s="216">
        <v>150</v>
      </c>
      <c r="F85" s="5" t="s">
        <v>247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243" t="s">
        <v>247</v>
      </c>
      <c r="AA85" s="101"/>
      <c r="AB85" s="101" t="s">
        <v>380</v>
      </c>
      <c r="AC85" s="241" t="s">
        <v>247</v>
      </c>
      <c r="AD85" s="243" t="s">
        <v>247</v>
      </c>
      <c r="AE85" s="101"/>
      <c r="AF85" s="101" t="s">
        <v>247</v>
      </c>
      <c r="AG85" s="241" t="s">
        <v>247</v>
      </c>
      <c r="AH85" s="5"/>
      <c r="AI85" s="5"/>
      <c r="AJ85" s="5"/>
      <c r="AK85" s="5"/>
    </row>
    <row r="86" spans="1:37" ht="13.5" customHeight="1" thickBot="1" x14ac:dyDescent="0.25">
      <c r="A86" s="117" t="s">
        <v>407</v>
      </c>
      <c r="B86" s="5"/>
      <c r="C86" s="5"/>
      <c r="D86" s="5"/>
      <c r="E86" s="270">
        <v>0.9</v>
      </c>
      <c r="F86" s="248" t="s">
        <v>408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250"/>
      <c r="AA86" s="251">
        <f>0.73*AC86</f>
        <v>12614.4</v>
      </c>
      <c r="AB86" s="251" t="s">
        <v>3</v>
      </c>
      <c r="AC86" s="253">
        <f>D115*D72*D68</f>
        <v>17280</v>
      </c>
      <c r="AD86" s="250" t="s">
        <v>74</v>
      </c>
      <c r="AE86" s="251">
        <f>0.255*AG86</f>
        <v>198033.8976</v>
      </c>
      <c r="AF86" s="251">
        <f>AG86</f>
        <v>776603.52</v>
      </c>
      <c r="AG86" s="253">
        <f>D68*D53*3.1416*2</f>
        <v>776603.52</v>
      </c>
      <c r="AH86" s="5"/>
      <c r="AI86" s="5"/>
      <c r="AJ86" s="5"/>
      <c r="AK86" s="5"/>
    </row>
    <row r="87" spans="1:37" ht="13.5" customHeight="1" thickBot="1" x14ac:dyDescent="0.25">
      <c r="A87" s="64" t="s">
        <v>409</v>
      </c>
      <c r="B87" s="5"/>
      <c r="C87" s="5"/>
      <c r="D87" s="5"/>
      <c r="E87" s="216">
        <v>320</v>
      </c>
      <c r="F87" s="5" t="s">
        <v>247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101"/>
      <c r="AA87" s="101"/>
      <c r="AB87" s="101"/>
      <c r="AC87" s="101"/>
      <c r="AD87" s="101"/>
      <c r="AE87" s="101"/>
      <c r="AF87" s="101"/>
      <c r="AG87" s="101"/>
      <c r="AH87" s="5"/>
      <c r="AI87" s="5"/>
      <c r="AJ87" s="5"/>
      <c r="AK87" s="5"/>
    </row>
    <row r="88" spans="1:37" ht="15.75" customHeight="1" thickBot="1" x14ac:dyDescent="0.25">
      <c r="A88" s="5" t="str">
        <f>'Thermal calculation 2'!G89</f>
        <v>Volumen de Foamglas</v>
      </c>
      <c r="B88" s="5"/>
      <c r="C88" s="5"/>
      <c r="D88" s="5"/>
      <c r="E88" s="5">
        <f>'Thermal calculation 2'!K89</f>
        <v>275.25204526450443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940" t="s">
        <v>410</v>
      </c>
      <c r="AA88" s="831"/>
      <c r="AB88" s="831"/>
      <c r="AC88" s="831"/>
      <c r="AD88" s="831"/>
      <c r="AE88" s="831"/>
      <c r="AF88" s="831"/>
      <c r="AG88" s="832"/>
      <c r="AH88" s="5"/>
      <c r="AI88" s="5"/>
      <c r="AJ88" s="5"/>
      <c r="AK88" s="5"/>
    </row>
    <row r="89" spans="1:37" ht="15" customHeight="1" x14ac:dyDescent="0.2">
      <c r="A89" s="5" t="s">
        <v>411</v>
      </c>
      <c r="B89" s="5"/>
      <c r="C89" s="5"/>
      <c r="D89" s="5"/>
      <c r="E89" s="5">
        <f>'Thermal calculation 2'!K90+'Thermal calculation 2'!K91</f>
        <v>1329.0436514590283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943" t="s">
        <v>403</v>
      </c>
      <c r="AA89" s="848"/>
      <c r="AB89" s="848"/>
      <c r="AC89" s="865"/>
      <c r="AD89" s="943" t="s">
        <v>404</v>
      </c>
      <c r="AE89" s="848"/>
      <c r="AF89" s="848"/>
      <c r="AG89" s="865"/>
      <c r="AH89" s="5"/>
      <c r="AI89" s="5"/>
      <c r="AJ89" s="5"/>
      <c r="AK89" s="5"/>
    </row>
    <row r="90" spans="1:37" ht="14.85" customHeight="1" x14ac:dyDescent="0.2">
      <c r="A90" s="64" t="s">
        <v>412</v>
      </c>
      <c r="B90" s="5"/>
      <c r="C90" s="5"/>
      <c r="D90" s="5"/>
      <c r="E90" s="271" t="s">
        <v>413</v>
      </c>
      <c r="F90" s="271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243" t="s">
        <v>327</v>
      </c>
      <c r="AA90" s="242" t="s">
        <v>284</v>
      </c>
      <c r="AB90" s="242" t="s">
        <v>376</v>
      </c>
      <c r="AC90" s="241" t="s">
        <v>293</v>
      </c>
      <c r="AD90" s="243" t="s">
        <v>327</v>
      </c>
      <c r="AE90" s="242" t="s">
        <v>284</v>
      </c>
      <c r="AF90" s="242" t="s">
        <v>376</v>
      </c>
      <c r="AG90" s="241" t="s">
        <v>293</v>
      </c>
      <c r="AH90" s="5"/>
      <c r="AI90" s="5"/>
      <c r="AJ90" s="5"/>
      <c r="AK90" s="5"/>
    </row>
    <row r="91" spans="1:37" x14ac:dyDescent="0.2">
      <c r="A91" s="64" t="s">
        <v>414</v>
      </c>
      <c r="B91" s="5"/>
      <c r="C91" s="5"/>
      <c r="D91" s="5"/>
      <c r="E91" s="272">
        <f>'Thermal calculation 1'!K46</f>
        <v>2.5103145098704311E-3</v>
      </c>
      <c r="F91" s="272">
        <f>E91*1.15</f>
        <v>2.8868616863509957E-3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243" t="s">
        <v>247</v>
      </c>
      <c r="AA91" s="101"/>
      <c r="AB91" s="101" t="s">
        <v>380</v>
      </c>
      <c r="AC91" s="241" t="s">
        <v>247</v>
      </c>
      <c r="AD91" s="243" t="s">
        <v>247</v>
      </c>
      <c r="AE91" s="101"/>
      <c r="AF91" s="101" t="s">
        <v>380</v>
      </c>
      <c r="AG91" s="241" t="s">
        <v>247</v>
      </c>
      <c r="AH91" s="5"/>
      <c r="AI91" s="5"/>
      <c r="AJ91" s="5"/>
      <c r="AK91" s="5"/>
    </row>
    <row r="92" spans="1:37" x14ac:dyDescent="0.2">
      <c r="A92" s="5" t="s">
        <v>415</v>
      </c>
      <c r="B92" s="5"/>
      <c r="C92" s="5"/>
      <c r="D92" s="5"/>
      <c r="E92" s="5">
        <f>'Weight Calculations'!K151</f>
        <v>1987.0027509038011</v>
      </c>
      <c r="F92" s="5" t="s">
        <v>416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243"/>
      <c r="AA92" s="101">
        <f>0.73*AC92</f>
        <v>4905.5999999999995</v>
      </c>
      <c r="AB92" s="101" t="s">
        <v>3</v>
      </c>
      <c r="AC92" s="241">
        <f>D43*D44*D102</f>
        <v>6720</v>
      </c>
      <c r="AD92" s="243">
        <v>4</v>
      </c>
      <c r="AE92" s="101">
        <f>0.29*AG92</f>
        <v>42615.929663999996</v>
      </c>
      <c r="AF92" s="101" t="s">
        <v>3</v>
      </c>
      <c r="AG92" s="241">
        <f>D103*3.1416*D43</f>
        <v>146951.4816</v>
      </c>
      <c r="AH92" s="5"/>
      <c r="AI92" s="5"/>
      <c r="AJ92" s="5"/>
      <c r="AK92" s="5"/>
    </row>
    <row r="93" spans="1:37" ht="18.75" customHeight="1" thickBot="1" x14ac:dyDescent="0.3">
      <c r="A93" s="134" t="s">
        <v>417</v>
      </c>
      <c r="B93" s="134"/>
      <c r="C93" s="134"/>
      <c r="D93" s="134"/>
      <c r="E93" s="134"/>
      <c r="F93" s="5"/>
      <c r="G93" s="5"/>
      <c r="H93" s="134" t="s">
        <v>418</v>
      </c>
      <c r="I93" s="13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250"/>
      <c r="AA93" s="251"/>
      <c r="AB93" s="251"/>
      <c r="AC93" s="253"/>
      <c r="AD93" s="250" t="s">
        <v>419</v>
      </c>
      <c r="AE93" s="251">
        <f>0.09*AG93</f>
        <v>4408.5444479999996</v>
      </c>
      <c r="AF93" s="251" t="s">
        <v>3</v>
      </c>
      <c r="AG93" s="253">
        <f>AG92/3</f>
        <v>48983.8272</v>
      </c>
      <c r="AH93" s="5"/>
      <c r="AI93" s="5"/>
      <c r="AJ93" s="5"/>
      <c r="AK93" s="5"/>
    </row>
    <row r="94" spans="1:37" ht="18.75" customHeight="1" thickBot="1" x14ac:dyDescent="0.3">
      <c r="A94" s="5"/>
      <c r="B94" s="5"/>
      <c r="C94" s="5"/>
      <c r="D94" s="273"/>
      <c r="E94" s="5"/>
      <c r="F94" s="5"/>
      <c r="G94" s="5"/>
      <c r="H94" s="134"/>
      <c r="I94" s="13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261"/>
      <c r="AA94" s="261"/>
      <c r="AB94" s="261"/>
      <c r="AC94" s="261"/>
      <c r="AD94" s="261"/>
      <c r="AE94" s="261"/>
      <c r="AF94" s="261"/>
      <c r="AG94" s="261"/>
      <c r="AH94" s="5"/>
      <c r="AI94" s="5"/>
      <c r="AJ94" s="5"/>
      <c r="AK94" s="5"/>
    </row>
    <row r="95" spans="1:37" ht="15.75" customHeight="1" thickBot="1" x14ac:dyDescent="0.25">
      <c r="A95" s="5" t="s">
        <v>420</v>
      </c>
      <c r="B95" s="5"/>
      <c r="C95" s="5"/>
      <c r="D95" s="216"/>
      <c r="E95" s="5"/>
      <c r="F95" s="5"/>
      <c r="G95" s="5"/>
      <c r="H95" s="5" t="s">
        <v>421</v>
      </c>
      <c r="I95" s="5"/>
      <c r="J95" s="223">
        <v>2000</v>
      </c>
      <c r="K95" s="5" t="s">
        <v>247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940" t="s">
        <v>422</v>
      </c>
      <c r="AA95" s="831"/>
      <c r="AB95" s="831"/>
      <c r="AC95" s="831"/>
      <c r="AD95" s="831"/>
      <c r="AE95" s="831"/>
      <c r="AF95" s="831"/>
      <c r="AG95" s="832"/>
      <c r="AH95" s="5"/>
      <c r="AI95" s="5"/>
      <c r="AJ95" s="5"/>
      <c r="AK95" s="5"/>
    </row>
    <row r="96" spans="1:37" ht="15" customHeight="1" x14ac:dyDescent="0.2">
      <c r="A96" s="5" t="s">
        <v>423</v>
      </c>
      <c r="B96" s="5"/>
      <c r="C96" s="5"/>
      <c r="D96" s="5">
        <f>ATAN((D32/2)/(D33-D31))</f>
        <v>0.6473727188515277</v>
      </c>
      <c r="E96" s="5" t="s">
        <v>424</v>
      </c>
      <c r="F96" s="5"/>
      <c r="G96" s="5"/>
      <c r="H96" s="5" t="s">
        <v>425</v>
      </c>
      <c r="I96" s="5"/>
      <c r="J96" s="223">
        <v>7000</v>
      </c>
      <c r="K96" s="5" t="s">
        <v>247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943" t="s">
        <v>392</v>
      </c>
      <c r="AA96" s="848"/>
      <c r="AB96" s="848"/>
      <c r="AC96" s="865"/>
      <c r="AD96" s="943" t="s">
        <v>396</v>
      </c>
      <c r="AE96" s="848"/>
      <c r="AF96" s="848"/>
      <c r="AG96" s="865"/>
      <c r="AH96" s="5"/>
      <c r="AI96" s="5"/>
      <c r="AJ96" s="5"/>
      <c r="AK96" s="5"/>
    </row>
    <row r="97" spans="1:37" ht="25.5" customHeight="1" x14ac:dyDescent="0.2">
      <c r="A97" s="5"/>
      <c r="B97" s="5"/>
      <c r="C97" s="5"/>
      <c r="D97" s="5"/>
      <c r="E97" s="5"/>
      <c r="F97" s="5"/>
      <c r="G97" s="5"/>
      <c r="H97" s="5" t="s">
        <v>426</v>
      </c>
      <c r="I97" s="5"/>
      <c r="J97" s="273">
        <f>3.1416*D109^2</f>
        <v>0</v>
      </c>
      <c r="K97" s="5" t="s">
        <v>334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243" t="s">
        <v>327</v>
      </c>
      <c r="AA97" s="242" t="s">
        <v>284</v>
      </c>
      <c r="AB97" s="242" t="s">
        <v>376</v>
      </c>
      <c r="AC97" s="241" t="s">
        <v>293</v>
      </c>
      <c r="AD97" s="243" t="s">
        <v>327</v>
      </c>
      <c r="AE97" s="242" t="s">
        <v>284</v>
      </c>
      <c r="AF97" s="242" t="s">
        <v>376</v>
      </c>
      <c r="AG97" s="241" t="s">
        <v>293</v>
      </c>
      <c r="AH97" s="5"/>
      <c r="AI97" s="5"/>
      <c r="AJ97" s="5"/>
      <c r="AK97" s="5"/>
    </row>
    <row r="98" spans="1:37" x14ac:dyDescent="0.2">
      <c r="A98" s="5" t="s">
        <v>427</v>
      </c>
      <c r="B98" s="5"/>
      <c r="C98" s="5"/>
      <c r="D98" s="216">
        <v>3950</v>
      </c>
      <c r="E98" s="5" t="s">
        <v>247</v>
      </c>
      <c r="F98" s="5"/>
      <c r="G98" s="5"/>
      <c r="H98" s="5" t="s">
        <v>428</v>
      </c>
      <c r="I98" s="5"/>
      <c r="J98" s="273">
        <f>J97/(J96*J95)</f>
        <v>0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243" t="s">
        <v>247</v>
      </c>
      <c r="AA98" s="101"/>
      <c r="AB98" s="101" t="s">
        <v>380</v>
      </c>
      <c r="AC98" s="241" t="s">
        <v>247</v>
      </c>
      <c r="AD98" s="243" t="s">
        <v>247</v>
      </c>
      <c r="AE98" s="101"/>
      <c r="AF98" s="101" t="s">
        <v>380</v>
      </c>
      <c r="AG98" s="241" t="s">
        <v>247</v>
      </c>
      <c r="AH98" s="5"/>
      <c r="AI98" s="5"/>
      <c r="AJ98" s="5"/>
      <c r="AK98" s="5"/>
    </row>
    <row r="99" spans="1:37" x14ac:dyDescent="0.2">
      <c r="A99" s="5" t="s">
        <v>429</v>
      </c>
      <c r="B99" s="5"/>
      <c r="C99" s="5"/>
      <c r="D99" s="274">
        <f>D95/2</f>
        <v>0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243" t="s">
        <v>430</v>
      </c>
      <c r="AA99" s="101">
        <f>0.51*AC99</f>
        <v>37491.854400000004</v>
      </c>
      <c r="AB99" s="101">
        <f>AC99</f>
        <v>73513.440000000002</v>
      </c>
      <c r="AC99" s="241">
        <f>(D32)*3.1416</f>
        <v>73513.440000000002</v>
      </c>
      <c r="AD99" s="243" t="s">
        <v>74</v>
      </c>
      <c r="AE99" s="101">
        <f>0.15*AG99</f>
        <v>49763.347919999993</v>
      </c>
      <c r="AF99" s="101" t="s">
        <v>3</v>
      </c>
      <c r="AG99" s="241">
        <f>(J102+J103)*2*J105*3/5</f>
        <v>331755.65279999998</v>
      </c>
      <c r="AH99" s="5"/>
      <c r="AI99" s="5"/>
      <c r="AJ99" s="5"/>
      <c r="AK99" s="5"/>
    </row>
    <row r="100" spans="1:37" ht="18.75" customHeight="1" thickBot="1" x14ac:dyDescent="0.3">
      <c r="A100" s="5" t="s">
        <v>431</v>
      </c>
      <c r="B100" s="5"/>
      <c r="C100" s="5"/>
      <c r="D100" s="216">
        <v>5000</v>
      </c>
      <c r="E100" s="5" t="s">
        <v>247</v>
      </c>
      <c r="F100" s="5"/>
      <c r="G100" s="5"/>
      <c r="H100" s="134" t="s">
        <v>432</v>
      </c>
      <c r="I100" s="13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250" t="s">
        <v>430</v>
      </c>
      <c r="AA100" s="251">
        <f>0.51*AC100</f>
        <v>37491.854400000004</v>
      </c>
      <c r="AB100" s="251" t="s">
        <v>3</v>
      </c>
      <c r="AC100" s="253">
        <f>(D32)*3.1416</f>
        <v>73513.440000000002</v>
      </c>
      <c r="AD100" s="250"/>
      <c r="AE100" s="251">
        <f>0.15*AG100</f>
        <v>807.3</v>
      </c>
      <c r="AF100" s="251" t="s">
        <v>3</v>
      </c>
      <c r="AG100" s="253">
        <f>J106*230</f>
        <v>5382</v>
      </c>
      <c r="AH100" s="5"/>
      <c r="AI100" s="5"/>
      <c r="AJ100" s="5"/>
      <c r="AK100" s="5"/>
    </row>
    <row r="101" spans="1:37" ht="18.75" customHeight="1" thickBot="1" x14ac:dyDescent="0.3">
      <c r="A101" s="5"/>
      <c r="B101" s="5"/>
      <c r="C101" s="5"/>
      <c r="D101" s="5"/>
      <c r="E101" s="5"/>
      <c r="F101" s="5"/>
      <c r="G101" s="5"/>
      <c r="H101" s="134"/>
      <c r="I101" s="13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01"/>
      <c r="AA101" s="101"/>
      <c r="AB101" s="101"/>
      <c r="AC101" s="101"/>
      <c r="AD101" s="101"/>
      <c r="AE101" s="101"/>
      <c r="AF101" s="101"/>
      <c r="AG101" s="101"/>
      <c r="AH101" s="5"/>
      <c r="AI101" s="5"/>
      <c r="AJ101" s="5"/>
      <c r="AK101" s="5"/>
    </row>
    <row r="102" spans="1:37" ht="15.75" customHeight="1" thickBot="1" x14ac:dyDescent="0.25">
      <c r="A102" s="5" t="s">
        <v>433</v>
      </c>
      <c r="B102" s="5"/>
      <c r="C102" s="5"/>
      <c r="D102" s="223">
        <v>24</v>
      </c>
      <c r="E102" s="5"/>
      <c r="F102" s="5"/>
      <c r="G102" s="5"/>
      <c r="H102" s="5" t="s">
        <v>421</v>
      </c>
      <c r="I102" s="5"/>
      <c r="J102" s="223">
        <v>2000</v>
      </c>
      <c r="K102" s="5" t="s">
        <v>247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948" t="s">
        <v>434</v>
      </c>
      <c r="AA102" s="831"/>
      <c r="AB102" s="831"/>
      <c r="AC102" s="831"/>
      <c r="AD102" s="948" t="s">
        <v>435</v>
      </c>
      <c r="AE102" s="831"/>
      <c r="AF102" s="831"/>
      <c r="AG102" s="831"/>
      <c r="AH102" s="5"/>
      <c r="AI102" s="5"/>
      <c r="AJ102" s="5"/>
      <c r="AK102" s="5"/>
    </row>
    <row r="103" spans="1:37" ht="25.5" customHeight="1" x14ac:dyDescent="0.2">
      <c r="A103" s="5" t="s">
        <v>436</v>
      </c>
      <c r="B103" s="5"/>
      <c r="C103" s="5"/>
      <c r="D103" s="273">
        <f>D32-2*H26</f>
        <v>23388</v>
      </c>
      <c r="E103" s="5" t="s">
        <v>247</v>
      </c>
      <c r="F103" s="5"/>
      <c r="G103" s="5"/>
      <c r="H103" s="5" t="s">
        <v>425</v>
      </c>
      <c r="I103" s="5"/>
      <c r="J103" s="223">
        <v>7000</v>
      </c>
      <c r="K103" s="5" t="s">
        <v>247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275" t="s">
        <v>327</v>
      </c>
      <c r="AA103" s="235" t="s">
        <v>284</v>
      </c>
      <c r="AB103" s="242" t="s">
        <v>286</v>
      </c>
      <c r="AC103" s="236" t="s">
        <v>293</v>
      </c>
      <c r="AD103" s="275" t="s">
        <v>327</v>
      </c>
      <c r="AE103" s="235" t="s">
        <v>284</v>
      </c>
      <c r="AF103" s="235" t="s">
        <v>286</v>
      </c>
      <c r="AG103" s="236" t="s">
        <v>293</v>
      </c>
      <c r="AH103" s="5"/>
      <c r="AI103" s="5"/>
      <c r="AJ103" s="5"/>
      <c r="AK103" s="5"/>
    </row>
    <row r="104" spans="1:37" x14ac:dyDescent="0.2">
      <c r="A104" s="5"/>
      <c r="B104" s="5"/>
      <c r="C104" s="5"/>
      <c r="D104" s="5"/>
      <c r="E104" s="5"/>
      <c r="F104" s="5"/>
      <c r="G104" s="5"/>
      <c r="H104" s="5" t="s">
        <v>426</v>
      </c>
      <c r="I104" s="5"/>
      <c r="J104" s="273">
        <f>3.1416*(D32/2)^2</f>
        <v>430053624</v>
      </c>
      <c r="K104" s="5" t="s">
        <v>334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243" t="s">
        <v>247</v>
      </c>
      <c r="AA104" s="101"/>
      <c r="AB104" s="101"/>
      <c r="AC104" s="241" t="s">
        <v>247</v>
      </c>
      <c r="AD104" s="243" t="s">
        <v>247</v>
      </c>
      <c r="AE104" s="101"/>
      <c r="AF104" s="101"/>
      <c r="AG104" s="241" t="s">
        <v>247</v>
      </c>
      <c r="AH104" s="5"/>
      <c r="AI104" s="5"/>
      <c r="AJ104" s="5"/>
      <c r="AK104" s="5"/>
    </row>
    <row r="105" spans="1:37" ht="13.5" customHeight="1" thickBot="1" x14ac:dyDescent="0.25">
      <c r="A105" s="5" t="s">
        <v>437</v>
      </c>
      <c r="B105" s="5"/>
      <c r="C105" s="5"/>
      <c r="D105" s="216"/>
      <c r="E105" s="5" t="s">
        <v>247</v>
      </c>
      <c r="F105" s="5"/>
      <c r="G105" s="5"/>
      <c r="H105" s="5" t="s">
        <v>428</v>
      </c>
      <c r="I105" s="5"/>
      <c r="J105" s="273">
        <f>J104/(J102*J103)</f>
        <v>30.718115999999998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250"/>
      <c r="AA105" s="251">
        <f>0.15*2*AC105</f>
        <v>2160</v>
      </c>
      <c r="AB105" s="251">
        <f>D61</f>
        <v>60</v>
      </c>
      <c r="AC105" s="253">
        <f>D64*D61</f>
        <v>7200</v>
      </c>
      <c r="AD105" s="250"/>
      <c r="AE105" s="251">
        <f>0.44*AG105</f>
        <v>1105.8431999999998</v>
      </c>
      <c r="AF105" s="251">
        <f>ROUNDUP(AG105/350,0)</f>
        <v>8</v>
      </c>
      <c r="AG105" s="253">
        <f>800*3.1416</f>
        <v>2513.2799999999997</v>
      </c>
      <c r="AH105" s="5"/>
      <c r="AI105" s="5"/>
      <c r="AJ105" s="5"/>
      <c r="AK105" s="5"/>
    </row>
    <row r="106" spans="1:37" x14ac:dyDescent="0.2">
      <c r="A106" s="5"/>
      <c r="B106" s="5"/>
      <c r="C106" s="5"/>
      <c r="D106" s="5"/>
      <c r="E106" s="5"/>
      <c r="F106" s="5"/>
      <c r="G106" s="5"/>
      <c r="H106" s="5" t="s">
        <v>438</v>
      </c>
      <c r="I106" s="5"/>
      <c r="J106" s="273">
        <f>D32/J102*2</f>
        <v>23.4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01"/>
      <c r="AA106" s="101"/>
      <c r="AB106" s="101"/>
      <c r="AC106" s="101"/>
      <c r="AD106" s="101"/>
      <c r="AE106" s="101"/>
      <c r="AF106" s="101"/>
      <c r="AG106" s="101"/>
      <c r="AH106" s="5"/>
      <c r="AI106" s="5"/>
      <c r="AJ106" s="5"/>
      <c r="AK106" s="5"/>
    </row>
    <row r="107" spans="1:37" ht="15.75" customHeight="1" thickBot="1" x14ac:dyDescent="0.25">
      <c r="A107" s="5" t="s">
        <v>439</v>
      </c>
      <c r="B107" s="5"/>
      <c r="C107" s="5"/>
      <c r="D107" s="216"/>
      <c r="E107" s="5" t="s">
        <v>247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937" t="s">
        <v>440</v>
      </c>
      <c r="AA107" s="809"/>
      <c r="AB107" s="809"/>
      <c r="AC107" s="809"/>
      <c r="AD107" s="809"/>
      <c r="AE107" s="809"/>
      <c r="AF107" s="809"/>
      <c r="AG107" s="809"/>
      <c r="AH107" s="5"/>
      <c r="AI107" s="5"/>
      <c r="AJ107" s="5"/>
      <c r="AK107" s="5"/>
    </row>
    <row r="108" spans="1:37" ht="25.5" customHeight="1" x14ac:dyDescent="0.2">
      <c r="A108" s="5" t="s">
        <v>441</v>
      </c>
      <c r="B108" s="5"/>
      <c r="C108" s="5"/>
      <c r="D108" s="216"/>
      <c r="E108" s="5"/>
      <c r="F108" s="5"/>
      <c r="G108" s="5"/>
      <c r="H108" s="5" t="s">
        <v>442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275" t="s">
        <v>327</v>
      </c>
      <c r="AA108" s="276" t="s">
        <v>293</v>
      </c>
      <c r="AB108" s="276" t="s">
        <v>293</v>
      </c>
      <c r="AC108" s="235" t="s">
        <v>443</v>
      </c>
      <c r="AD108" s="235" t="s">
        <v>443</v>
      </c>
      <c r="AE108" s="276" t="s">
        <v>286</v>
      </c>
      <c r="AF108" s="235" t="s">
        <v>444</v>
      </c>
      <c r="AG108" s="277" t="s">
        <v>285</v>
      </c>
      <c r="AH108" s="5"/>
      <c r="AI108" s="5"/>
      <c r="AJ108" s="5"/>
      <c r="AK108" s="5"/>
    </row>
    <row r="109" spans="1:37" x14ac:dyDescent="0.2">
      <c r="A109" s="5" t="s">
        <v>445</v>
      </c>
      <c r="B109" s="5"/>
      <c r="C109" s="5"/>
      <c r="D109" s="216"/>
      <c r="E109" s="5" t="s">
        <v>247</v>
      </c>
      <c r="F109" s="5"/>
      <c r="G109" s="5"/>
      <c r="H109" s="5" t="s">
        <v>446</v>
      </c>
      <c r="I109" s="216">
        <v>100</v>
      </c>
      <c r="J109" s="216">
        <v>250</v>
      </c>
      <c r="K109" s="5" t="s">
        <v>247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243" t="s">
        <v>247</v>
      </c>
      <c r="AA109" s="101" t="s">
        <v>247</v>
      </c>
      <c r="AB109" s="101" t="s">
        <v>408</v>
      </c>
      <c r="AC109" s="101" t="s">
        <v>121</v>
      </c>
      <c r="AD109" s="101" t="s">
        <v>447</v>
      </c>
      <c r="AE109" s="101" t="s">
        <v>295</v>
      </c>
      <c r="AF109" s="101" t="s">
        <v>408</v>
      </c>
      <c r="AG109" s="241" t="s">
        <v>295</v>
      </c>
      <c r="AH109" s="5"/>
      <c r="AI109" s="5"/>
      <c r="AJ109" s="5"/>
      <c r="AK109" s="5"/>
    </row>
    <row r="110" spans="1:37" x14ac:dyDescent="0.2">
      <c r="A110" s="5" t="s">
        <v>448</v>
      </c>
      <c r="B110" s="5"/>
      <c r="C110" s="5"/>
      <c r="D110" s="216"/>
      <c r="E110" s="5"/>
      <c r="F110" s="5"/>
      <c r="G110" s="5"/>
      <c r="H110" s="5" t="s">
        <v>449</v>
      </c>
      <c r="I110" s="216">
        <v>150</v>
      </c>
      <c r="J110" s="216">
        <v>12</v>
      </c>
      <c r="K110" s="5" t="s">
        <v>247</v>
      </c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243">
        <v>2</v>
      </c>
      <c r="AA110" s="101">
        <f>AC38+AG38+AC44+AG44+AC56+AG56+AG58+AC63+AG93</f>
        <v>409247.88174386002</v>
      </c>
      <c r="AB110" s="101"/>
      <c r="AC110" s="101"/>
      <c r="AD110" s="101"/>
      <c r="AE110" s="101"/>
      <c r="AF110" s="101"/>
      <c r="AG110" s="7"/>
      <c r="AH110" s="5"/>
      <c r="AI110" s="5"/>
      <c r="AJ110" s="5"/>
      <c r="AK110" s="5"/>
    </row>
    <row r="111" spans="1:37" x14ac:dyDescent="0.2">
      <c r="A111" s="808" t="s">
        <v>450</v>
      </c>
      <c r="B111" s="809"/>
      <c r="C111" s="5" t="s">
        <v>451</v>
      </c>
      <c r="D111" s="5">
        <f>L43</f>
        <v>380</v>
      </c>
      <c r="E111" s="5" t="s">
        <v>247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243">
        <v>3</v>
      </c>
      <c r="AA111" s="101">
        <f>AC105+AC50</f>
        <v>12436</v>
      </c>
      <c r="AB111" s="101"/>
      <c r="AC111" s="101"/>
      <c r="AD111" s="101"/>
      <c r="AE111" s="101"/>
      <c r="AF111" s="101"/>
      <c r="AG111" s="7"/>
      <c r="AH111" s="5"/>
      <c r="AI111" s="5"/>
      <c r="AJ111" s="5"/>
      <c r="AK111" s="5"/>
    </row>
    <row r="112" spans="1:37" x14ac:dyDescent="0.2">
      <c r="A112" s="809"/>
      <c r="B112" s="809"/>
      <c r="C112" s="5" t="s">
        <v>452</v>
      </c>
      <c r="D112" s="216"/>
      <c r="E112" s="5"/>
      <c r="F112" s="5"/>
      <c r="G112" s="5"/>
      <c r="H112" s="5" t="s">
        <v>453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243" t="s">
        <v>74</v>
      </c>
      <c r="AA112" s="101">
        <f>AC75+AG86+AG99</f>
        <v>1104086.5967999999</v>
      </c>
      <c r="AB112" s="101"/>
      <c r="AC112" s="101"/>
      <c r="AD112" s="101"/>
      <c r="AE112" s="101"/>
      <c r="AF112" s="101"/>
      <c r="AG112" s="7"/>
      <c r="AH112" s="5"/>
      <c r="AI112" s="5"/>
      <c r="AJ112" s="5"/>
      <c r="AK112" s="5"/>
    </row>
    <row r="113" spans="1:37" x14ac:dyDescent="0.2">
      <c r="A113" s="5" t="s">
        <v>454</v>
      </c>
      <c r="B113" s="5"/>
      <c r="C113" s="5"/>
      <c r="D113" s="216">
        <v>24</v>
      </c>
      <c r="E113" s="5"/>
      <c r="F113" s="5"/>
      <c r="G113" s="5"/>
      <c r="H113" s="5" t="s">
        <v>446</v>
      </c>
      <c r="I113" s="216">
        <v>120</v>
      </c>
      <c r="J113" s="216">
        <v>300</v>
      </c>
      <c r="K113" s="5" t="s">
        <v>247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243">
        <v>4</v>
      </c>
      <c r="AA113" s="101">
        <f>AG57+AC57+AC64+AG92</f>
        <v>352625.81614385999</v>
      </c>
      <c r="AB113" s="101"/>
      <c r="AC113" s="101"/>
      <c r="AD113" s="101"/>
      <c r="AE113" s="101"/>
      <c r="AF113" s="101"/>
      <c r="AG113" s="7"/>
      <c r="AH113" s="5"/>
      <c r="AI113" s="5"/>
      <c r="AJ113" s="5"/>
      <c r="AK113" s="5"/>
    </row>
    <row r="114" spans="1:37" x14ac:dyDescent="0.2">
      <c r="A114" s="5" t="s">
        <v>455</v>
      </c>
      <c r="B114" s="5"/>
      <c r="C114" s="5"/>
      <c r="D114" s="5"/>
      <c r="E114" s="5" t="s">
        <v>247</v>
      </c>
      <c r="F114" s="5"/>
      <c r="G114" s="5"/>
      <c r="H114" s="5" t="s">
        <v>449</v>
      </c>
      <c r="I114" s="216">
        <v>150</v>
      </c>
      <c r="J114" s="216">
        <v>12</v>
      </c>
      <c r="K114" s="5" t="s">
        <v>247</v>
      </c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243" t="s">
        <v>79</v>
      </c>
      <c r="AA114" s="101">
        <f>AC39+AC40+AC45</f>
        <v>12409.32</v>
      </c>
      <c r="AB114" s="101"/>
      <c r="AC114" s="101"/>
      <c r="AD114" s="101"/>
      <c r="AE114" s="101"/>
      <c r="AF114" s="101"/>
      <c r="AG114" s="7"/>
      <c r="AH114" s="5"/>
      <c r="AI114" s="5"/>
      <c r="AJ114" s="5"/>
      <c r="AK114" s="5"/>
    </row>
    <row r="115" spans="1:37" x14ac:dyDescent="0.2">
      <c r="A115" s="5" t="s">
        <v>456</v>
      </c>
      <c r="B115" s="5"/>
      <c r="C115" s="5"/>
      <c r="D115" s="223">
        <v>24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243" t="s">
        <v>430</v>
      </c>
      <c r="AA115" s="101">
        <f>AC99+AC100</f>
        <v>147026.88</v>
      </c>
      <c r="AB115" s="101"/>
      <c r="AC115" s="101"/>
      <c r="AD115" s="101"/>
      <c r="AE115" s="101"/>
      <c r="AF115" s="101"/>
      <c r="AG115" s="7"/>
      <c r="AH115" s="5"/>
      <c r="AI115" s="5"/>
      <c r="AJ115" s="5"/>
      <c r="AK115" s="5"/>
    </row>
    <row r="116" spans="1:37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243" t="s">
        <v>365</v>
      </c>
      <c r="AA116" s="101">
        <f>AG50</f>
        <v>0</v>
      </c>
      <c r="AB116" s="101"/>
      <c r="AC116" s="101"/>
      <c r="AD116" s="101"/>
      <c r="AE116" s="101"/>
      <c r="AF116" s="101"/>
      <c r="AG116" s="7"/>
      <c r="AH116" s="5"/>
      <c r="AI116" s="5"/>
      <c r="AJ116" s="5"/>
      <c r="AK116" s="5"/>
    </row>
    <row r="117" spans="1:37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243">
        <v>6</v>
      </c>
      <c r="AA117" s="101">
        <f>AG69+AG49+AC76</f>
        <v>129433.92</v>
      </c>
      <c r="AB117" s="101"/>
      <c r="AC117" s="101"/>
      <c r="AD117" s="101"/>
      <c r="AE117" s="101"/>
      <c r="AF117" s="101"/>
      <c r="AG117" s="7"/>
      <c r="AH117" s="5"/>
      <c r="AI117" s="5"/>
      <c r="AJ117" s="5"/>
      <c r="AK117" s="5"/>
    </row>
    <row r="118" spans="1:37" x14ac:dyDescent="0.2">
      <c r="A118" s="5"/>
      <c r="B118" s="5"/>
      <c r="C118" s="5"/>
      <c r="D118" s="5"/>
      <c r="E118" s="5"/>
      <c r="F118" s="5"/>
      <c r="G118" s="5"/>
      <c r="H118" s="5"/>
      <c r="I118" s="5">
        <f>2*PI()*D54*I114</f>
        <v>16964600.329384882</v>
      </c>
      <c r="J118" s="5">
        <f>D58-I118</f>
        <v>349270023.42252088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243">
        <v>7</v>
      </c>
      <c r="AA118" s="101">
        <f>AG68</f>
        <v>0</v>
      </c>
      <c r="AB118" s="101"/>
      <c r="AC118" s="101"/>
      <c r="AD118" s="101"/>
      <c r="AE118" s="101"/>
      <c r="AF118" s="101"/>
      <c r="AG118" s="7"/>
      <c r="AH118" s="5"/>
      <c r="AI118" s="5"/>
      <c r="AJ118" s="5"/>
      <c r="AK118" s="5"/>
    </row>
    <row r="119" spans="1:37" ht="13.5" customHeight="1" thickBot="1" x14ac:dyDescent="0.25">
      <c r="A119" s="5"/>
      <c r="B119" s="5"/>
      <c r="C119" s="5"/>
      <c r="D119" s="5"/>
      <c r="E119" s="5"/>
      <c r="F119" s="5"/>
      <c r="G119" s="5"/>
      <c r="H119" s="5"/>
      <c r="I119" s="5">
        <f>D58/I118</f>
        <v>21.588166926487506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250" t="s">
        <v>457</v>
      </c>
      <c r="AA119" s="251">
        <f>SUM(AE7:AE14)+SUM(AK7:AK14)+SUM(AC25:AC32)+SUM(AG25:AG32)+AG63+AC68+AG75+AC80+AC86+AC92+AG100</f>
        <v>1552459.52</v>
      </c>
      <c r="AB119" s="251"/>
      <c r="AC119" s="251"/>
      <c r="AD119" s="251"/>
      <c r="AE119" s="251"/>
      <c r="AF119" s="251"/>
      <c r="AG119" s="10"/>
      <c r="AH119" s="5"/>
      <c r="AI119" s="5"/>
      <c r="AJ119" s="5"/>
      <c r="AK119" s="5"/>
    </row>
    <row r="120" spans="1:37" ht="13.5" customHeight="1" thickBot="1" x14ac:dyDescent="0.25">
      <c r="A120" s="5"/>
      <c r="B120" s="5"/>
      <c r="C120" s="5"/>
      <c r="D120" s="5"/>
      <c r="E120" s="5"/>
      <c r="F120" s="5"/>
      <c r="G120" s="5"/>
      <c r="H120" s="64" t="s">
        <v>320</v>
      </c>
      <c r="I120" s="5">
        <v>16680.00532233838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278" t="s">
        <v>440</v>
      </c>
      <c r="AA120" s="278">
        <f>SUM(AA110:AA119)</f>
        <v>3719725.9346877201</v>
      </c>
      <c r="AB120" s="278">
        <f>AA120/1000</f>
        <v>3719.7259346877199</v>
      </c>
      <c r="AC120" s="278">
        <f>SUM(AA7:AA14)+SUM(AG7:AG13)+SUM(AA25:AA32)+SUM(AE25:AE31)+AA38+AA39+AA40+AE38+AA44+AA45+AE44+AA50+AE49+AE50+AA56+AA57+AE56+AE57+AE58+AA63+AA64+AE63+AA68+AE68+AE69+AA75+AA76+AE75+AA80+AA86+AE86+AA92+AE92+AE93+AA99+AA100+AE99+AE100+AA105+AE105</f>
        <v>1187509.8573404213</v>
      </c>
      <c r="AD120" s="278">
        <f>AC120/1000</f>
        <v>1187.5098573404214</v>
      </c>
      <c r="AE120" s="279">
        <f>AC7+AC8+AC9+AC10+AC11+AC12+AC13+AC14+AI8+AI7+AI9+AI10+AI11+AI12+AI13+AB68+AF75+AB105+AF105</f>
        <v>1679</v>
      </c>
      <c r="AF120" s="280">
        <f>(AB56+AF56+AF57+AF58+AB64+AF63+AB69+AF68+AF69+AB76+AF86+AB99+AF50+AF49+AD13+AD14+AJ11+AJ12+AJ13)/1000</f>
        <v>1642.1939345438598</v>
      </c>
      <c r="AG120" s="33">
        <f>AB7+AB8+AB9+AB10+AB11+AB12+AB13+AB14+AH7+AH8+AH9+AH10+AH11+AH12+AH13</f>
        <v>262</v>
      </c>
      <c r="AH120" s="5"/>
      <c r="AI120" s="5"/>
      <c r="AJ120" s="5"/>
      <c r="AK120" s="5"/>
    </row>
    <row r="121" spans="1:37" ht="13.5" customHeight="1" thickBo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281" t="s">
        <v>458</v>
      </c>
      <c r="AA121" s="281">
        <f>SUM(AE7:AE14)+SUM(AK7:AK14)+SUM(AC25:AC32)+SUM(AG25:AG32)+SUM(AC38:AC40)+AG38+AC44+AC45+AG44+AC50+AC49+AG49+AG50+AC56+AC57+AG56+AG57+AG58+AC63+AC64+AG63+AC68+AG68+AG69+AC75+AC76+AG75+AC80+AC86+AG86+AC92+AG92+AG93+AC99+AC100+AG99+AG100+AC105</f>
        <v>3719725.9346877201</v>
      </c>
      <c r="AB121" s="281"/>
      <c r="AC121" s="275"/>
      <c r="AD121" s="101"/>
      <c r="AE121" s="245"/>
      <c r="AF121" s="282"/>
      <c r="AG121" s="5"/>
      <c r="AH121" s="5"/>
      <c r="AI121" s="5"/>
      <c r="AJ121" s="5"/>
      <c r="AK121" s="5"/>
    </row>
    <row r="122" spans="1:37" x14ac:dyDescent="0.2">
      <c r="A122" s="5">
        <f>D50/6</f>
        <v>1200</v>
      </c>
      <c r="B122" s="5"/>
      <c r="C122" s="5"/>
      <c r="D122" s="5"/>
      <c r="E122" s="5"/>
      <c r="F122" s="5"/>
      <c r="G122" s="5"/>
      <c r="H122" s="5"/>
      <c r="I122" s="256">
        <f>2*PI()*D33*O46-O43-O36</f>
        <v>103899281.9337543</v>
      </c>
      <c r="J122" s="256">
        <f>D41-I122-O43</f>
        <v>268504013.42613637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:37" x14ac:dyDescent="0.2">
      <c r="A123" s="5"/>
      <c r="B123" s="5" t="s">
        <v>459</v>
      </c>
      <c r="C123" s="5"/>
      <c r="D123" s="5"/>
      <c r="E123" s="5"/>
      <c r="F123" s="5"/>
      <c r="G123" s="5"/>
      <c r="H123" s="5"/>
      <c r="I123" s="256">
        <f>(D41-O43-O36)/(I122)</f>
        <v>3.3945002706206209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37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:37" x14ac:dyDescent="0.2">
      <c r="A125" s="5"/>
      <c r="B125" s="5" t="s">
        <v>460</v>
      </c>
      <c r="C125" s="5"/>
      <c r="D125" s="5">
        <v>2</v>
      </c>
      <c r="E125" s="5"/>
      <c r="F125" s="5"/>
      <c r="G125" s="5"/>
      <c r="H125" s="64" t="s">
        <v>321</v>
      </c>
      <c r="I125" s="5">
        <f>D54-(D54^2-(I127/2)^2)^0.5</f>
        <v>1151.8660691668192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37" x14ac:dyDescent="0.2">
      <c r="A126" s="5"/>
      <c r="B126" s="5" t="s">
        <v>461</v>
      </c>
      <c r="C126" s="5"/>
      <c r="D126" s="5">
        <v>5000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:37" x14ac:dyDescent="0.2">
      <c r="A127" s="5"/>
      <c r="B127" s="5" t="s">
        <v>462</v>
      </c>
      <c r="C127" s="5"/>
      <c r="D127" s="5">
        <f>D33-(D33^2-(D126/2)^2)^0.5</f>
        <v>161.75683696663691</v>
      </c>
      <c r="E127" s="5"/>
      <c r="F127" s="5"/>
      <c r="G127" s="5"/>
      <c r="H127" s="64" t="s">
        <v>320</v>
      </c>
      <c r="I127" s="5">
        <v>12671.287708628141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1:37" x14ac:dyDescent="0.2">
      <c r="A128" s="5"/>
      <c r="B128" s="5" t="s">
        <v>463</v>
      </c>
      <c r="C128" s="5"/>
      <c r="D128" s="5">
        <v>8500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:37" x14ac:dyDescent="0.2">
      <c r="A129" s="5"/>
      <c r="B129" s="5" t="s">
        <v>464</v>
      </c>
      <c r="C129" s="5"/>
      <c r="D129" s="5">
        <f>(D31+D127)/2</f>
        <v>2043.4692913917443</v>
      </c>
      <c r="E129" s="5"/>
      <c r="F129" s="5"/>
      <c r="G129" s="5"/>
      <c r="H129" s="64" t="s">
        <v>331</v>
      </c>
      <c r="I129" s="5">
        <f>2*PI()*D54*I125</f>
        <v>130272983.30929795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1:37" x14ac:dyDescent="0.2">
      <c r="A130" s="5"/>
      <c r="B130" s="5" t="s">
        <v>465</v>
      </c>
      <c r="C130" s="5"/>
      <c r="D130" s="5">
        <v>12000</v>
      </c>
      <c r="E130" s="5"/>
      <c r="F130" s="5"/>
      <c r="G130" s="5"/>
      <c r="H130" s="64" t="s">
        <v>336</v>
      </c>
      <c r="I130" s="5">
        <f>D58-I129</f>
        <v>235961640.44260779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1:37" x14ac:dyDescent="0.2">
      <c r="A131" s="5"/>
      <c r="B131" s="5" t="s">
        <v>466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1:37" x14ac:dyDescent="0.2">
      <c r="A132" s="5"/>
      <c r="B132" s="5"/>
      <c r="C132" s="5"/>
      <c r="D132" s="5"/>
      <c r="E132" s="5"/>
      <c r="F132" s="5"/>
      <c r="G132" s="5"/>
      <c r="H132" s="64" t="s">
        <v>341</v>
      </c>
      <c r="I132" s="5">
        <f>D58/I129</f>
        <v>2.8112860736625698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</row>
    <row r="133" spans="1:37" x14ac:dyDescent="0.2">
      <c r="A133" s="5"/>
      <c r="B133" s="5" t="s">
        <v>467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</row>
    <row r="134" spans="1:37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1:37" x14ac:dyDescent="0.2">
      <c r="A135" s="5"/>
      <c r="B135" s="5" t="s">
        <v>468</v>
      </c>
      <c r="C135" s="5"/>
      <c r="D135" s="5">
        <f>D30/200</f>
        <v>44.565216465781369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</row>
    <row r="136" spans="1:37" x14ac:dyDescent="0.2">
      <c r="A136" s="5"/>
      <c r="B136" s="5" t="s">
        <v>469</v>
      </c>
      <c r="C136" s="5"/>
      <c r="D136" s="5">
        <f>D135/13</f>
        <v>3.4280935742908745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1:37" x14ac:dyDescent="0.2">
      <c r="A137" s="5"/>
      <c r="B137" s="5" t="s">
        <v>470</v>
      </c>
      <c r="C137" s="5"/>
      <c r="D137" s="5">
        <v>6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1:37" x14ac:dyDescent="0.2">
      <c r="A138" s="5"/>
      <c r="B138" s="5" t="s">
        <v>471</v>
      </c>
      <c r="C138" s="5"/>
      <c r="D138" s="5">
        <v>70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</row>
    <row r="139" spans="1:37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:37" x14ac:dyDescent="0.2">
      <c r="A140" s="5"/>
      <c r="B140" s="5" t="s">
        <v>472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1:37" x14ac:dyDescent="0.2">
      <c r="A141" s="5"/>
      <c r="B141" s="5" t="s">
        <v>473</v>
      </c>
      <c r="C141" s="5"/>
      <c r="D141" s="5">
        <v>40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1:37" x14ac:dyDescent="0.2">
      <c r="A142" s="5"/>
      <c r="B142" s="5" t="s">
        <v>474</v>
      </c>
      <c r="C142" s="5"/>
      <c r="D142" s="5">
        <f>D31/SIN(D141*2*PI()/360)</f>
        <v>6106.498766724827</v>
      </c>
      <c r="E142" s="5">
        <f>COS(D141)</f>
        <v>-0.66693806165226188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</row>
    <row r="143" spans="1:37" x14ac:dyDescent="0.2">
      <c r="A143" s="5"/>
      <c r="B143" s="5" t="s">
        <v>475</v>
      </c>
      <c r="C143" s="5"/>
      <c r="D143" s="5">
        <f>D32/2-D142*COS(D141*2*PI()/360)-D146/2</f>
        <v>4522.1505528375537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</row>
    <row r="144" spans="1:37" x14ac:dyDescent="0.2">
      <c r="A144" s="5"/>
      <c r="B144" s="5" t="s">
        <v>468</v>
      </c>
      <c r="C144" s="5"/>
      <c r="D144" s="5">
        <f>D31/200-1</f>
        <v>18.625908729084259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:37" x14ac:dyDescent="0.2">
      <c r="A145" s="5"/>
      <c r="B145" s="5" t="s">
        <v>476</v>
      </c>
      <c r="C145" s="5"/>
      <c r="D145" s="5">
        <v>12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:37" x14ac:dyDescent="0.2">
      <c r="A146" s="5"/>
      <c r="B146" s="5" t="s">
        <v>477</v>
      </c>
      <c r="C146" s="5"/>
      <c r="D146" s="5">
        <v>5000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1:37" x14ac:dyDescent="0.2">
      <c r="A147" s="5"/>
      <c r="B147" s="22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1:37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1:37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</row>
    <row r="150" spans="1:37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</row>
    <row r="151" spans="1:37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1:37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</row>
    <row r="153" spans="1:37" x14ac:dyDescent="0.2">
      <c r="A153" s="5"/>
      <c r="B153" s="5" t="s">
        <v>478</v>
      </c>
      <c r="C153" s="5">
        <f>(D32/1000)^2*PI()/4</f>
        <v>430.05261834990671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1:37" x14ac:dyDescent="0.2">
      <c r="A154" s="5"/>
      <c r="B154" s="5" t="s">
        <v>479</v>
      </c>
      <c r="C154" s="5">
        <f>F57+'Thermal calculation 2'!K89+('Thermal calculation 2'!K71+'Thermal calculation 2'!K72)/25000</f>
        <v>1718.181520164826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1:37" x14ac:dyDescent="0.2">
      <c r="A155" s="5"/>
      <c r="B155" s="5" t="s">
        <v>480</v>
      </c>
      <c r="C155" s="5">
        <f>C154/C153</f>
        <v>3.9952820814285799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</row>
    <row r="156" spans="1:37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</row>
    <row r="157" spans="1:37" x14ac:dyDescent="0.2">
      <c r="A157" s="5"/>
      <c r="B157" s="5">
        <v>1.2</v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</row>
    <row r="158" spans="1:37" x14ac:dyDescent="0.2">
      <c r="A158" s="5"/>
      <c r="B158" s="5">
        <v>480</v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</row>
    <row r="159" spans="1:37" x14ac:dyDescent="0.2">
      <c r="A159" s="5"/>
      <c r="B159" s="5">
        <v>263.48130466665611</v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</row>
  </sheetData>
  <mergeCells count="48">
    <mergeCell ref="Z102:AC102"/>
    <mergeCell ref="AD102:AG102"/>
    <mergeCell ref="Z107:AG107"/>
    <mergeCell ref="A111:B112"/>
    <mergeCell ref="Z89:AC89"/>
    <mergeCell ref="AD89:AG89"/>
    <mergeCell ref="Z95:AG95"/>
    <mergeCell ref="Z96:AC96"/>
    <mergeCell ref="AD96:AG96"/>
    <mergeCell ref="Z77:AC77"/>
    <mergeCell ref="Z82:AG82"/>
    <mergeCell ref="Z83:AC83"/>
    <mergeCell ref="AD83:AG83"/>
    <mergeCell ref="Z88:AG88"/>
    <mergeCell ref="Z68:Z69"/>
    <mergeCell ref="AA68:AA69"/>
    <mergeCell ref="AC68:AC69"/>
    <mergeCell ref="Z71:AG71"/>
    <mergeCell ref="Z72:AC72"/>
    <mergeCell ref="AD72:AG72"/>
    <mergeCell ref="Z53:AC53"/>
    <mergeCell ref="AD53:AG53"/>
    <mergeCell ref="Z60:AC60"/>
    <mergeCell ref="AD60:AG60"/>
    <mergeCell ref="Z65:AC65"/>
    <mergeCell ref="AD65:AG65"/>
    <mergeCell ref="Z41:AC41"/>
    <mergeCell ref="AD41:AG41"/>
    <mergeCell ref="Z46:AC46"/>
    <mergeCell ref="AD46:AG46"/>
    <mergeCell ref="Z52:AG52"/>
    <mergeCell ref="Z20:AG20"/>
    <mergeCell ref="Z21:AC21"/>
    <mergeCell ref="AD21:AG21"/>
    <mergeCell ref="Z34:AG34"/>
    <mergeCell ref="Z35:AC35"/>
    <mergeCell ref="AD35:AG35"/>
    <mergeCell ref="A4:B4"/>
    <mergeCell ref="A5:B5"/>
    <mergeCell ref="Z1:AK1"/>
    <mergeCell ref="Z2:AK2"/>
    <mergeCell ref="Z3:AE3"/>
    <mergeCell ref="AF3:AK3"/>
    <mergeCell ref="G46:K46"/>
    <mergeCell ref="G45:K45"/>
    <mergeCell ref="G36:J37"/>
    <mergeCell ref="C1:F1"/>
    <mergeCell ref="C2:F2"/>
  </mergeCells>
  <pageMargins left="0.74803149606299213" right="0.74803149606299213" top="0.98425196850393704" bottom="0.98425196850393704" header="0" footer="0"/>
  <pageSetup paperSize="9" scale="91" orientation="portrait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7"/>
  <sheetViews>
    <sheetView workbookViewId="0"/>
    <sheetView tabSelected="1" workbookViewId="1">
      <selection sqref="A1:AK5"/>
    </sheetView>
  </sheetViews>
  <sheetFormatPr defaultColWidth="11.42578125" defaultRowHeight="12.75" x14ac:dyDescent="0.2"/>
  <cols>
    <col min="7" max="7" width="19.85546875" bestFit="1" customWidth="1"/>
  </cols>
  <sheetData>
    <row r="1" spans="1:7" x14ac:dyDescent="0.2">
      <c r="A1" s="5"/>
      <c r="B1" s="5"/>
      <c r="C1" s="5"/>
      <c r="D1" s="5"/>
      <c r="E1" s="5"/>
      <c r="F1" s="5"/>
      <c r="G1" s="5"/>
    </row>
    <row r="2" spans="1:7" ht="15.75" customHeight="1" x14ac:dyDescent="0.25">
      <c r="A2" s="5"/>
      <c r="B2" s="283" t="s">
        <v>481</v>
      </c>
      <c r="C2" s="5"/>
      <c r="D2" s="5"/>
      <c r="E2" s="5"/>
      <c r="F2" s="5"/>
      <c r="G2" s="5"/>
    </row>
    <row r="3" spans="1:7" x14ac:dyDescent="0.2">
      <c r="A3" s="5"/>
      <c r="B3" s="5"/>
      <c r="C3" s="5"/>
      <c r="D3" s="5"/>
      <c r="E3" s="5"/>
      <c r="F3" s="5"/>
      <c r="G3" s="5"/>
    </row>
    <row r="4" spans="1:7" x14ac:dyDescent="0.2">
      <c r="A4" s="5"/>
      <c r="B4" s="5"/>
      <c r="C4" s="5"/>
      <c r="D4" s="5"/>
      <c r="E4" s="5"/>
      <c r="F4" s="5"/>
      <c r="G4" s="5"/>
    </row>
    <row r="5" spans="1:7" x14ac:dyDescent="0.2">
      <c r="A5" s="5"/>
      <c r="B5" s="284" t="s">
        <v>482</v>
      </c>
      <c r="C5" s="5"/>
      <c r="D5" s="5"/>
      <c r="E5" s="5"/>
      <c r="F5" s="5"/>
      <c r="G5" s="5"/>
    </row>
    <row r="6" spans="1:7" x14ac:dyDescent="0.2">
      <c r="A6" s="5"/>
      <c r="B6" s="5"/>
      <c r="C6" s="5"/>
      <c r="D6" s="5"/>
      <c r="E6" s="5"/>
      <c r="F6" s="5"/>
      <c r="G6" s="5"/>
    </row>
    <row r="7" spans="1:7" x14ac:dyDescent="0.2">
      <c r="A7" s="5"/>
      <c r="B7" s="285" t="s">
        <v>483</v>
      </c>
      <c r="C7" s="5"/>
      <c r="D7" s="5"/>
      <c r="E7" s="5"/>
      <c r="F7" s="5"/>
      <c r="G7" s="5"/>
    </row>
    <row r="8" spans="1:7" x14ac:dyDescent="0.2">
      <c r="A8" s="5"/>
      <c r="B8" s="286" t="s">
        <v>484</v>
      </c>
      <c r="C8" s="286" t="s">
        <v>485</v>
      </c>
      <c r="D8" s="286" t="s">
        <v>486</v>
      </c>
      <c r="E8" s="286" t="s">
        <v>451</v>
      </c>
      <c r="F8" s="286" t="s">
        <v>327</v>
      </c>
      <c r="G8" s="286" t="s">
        <v>487</v>
      </c>
    </row>
    <row r="9" spans="1:7" x14ac:dyDescent="0.2">
      <c r="A9" s="5"/>
      <c r="B9" s="287" t="s">
        <v>488</v>
      </c>
      <c r="C9" s="288">
        <v>6</v>
      </c>
      <c r="D9" s="289">
        <f>ROUNDUP(('Main Dimensions Calcs'!$D$53+F9)*PI()/C9,0)</f>
        <v>10791</v>
      </c>
      <c r="E9" s="289">
        <f>'Main Dimensions Calcs'!I7</f>
        <v>2000</v>
      </c>
      <c r="F9" s="289">
        <f>'Main Dimensions Calcs'!H7</f>
        <v>8</v>
      </c>
      <c r="G9" s="289" t="s">
        <v>489</v>
      </c>
    </row>
    <row r="10" spans="1:7" x14ac:dyDescent="0.2">
      <c r="A10" s="5"/>
      <c r="B10" s="287" t="s">
        <v>490</v>
      </c>
      <c r="C10" s="288">
        <v>6</v>
      </c>
      <c r="D10" s="289">
        <f>ROUNDUP(('Main Dimensions Calcs'!$D$53+F10)*PI()/C10,0)</f>
        <v>10791</v>
      </c>
      <c r="E10" s="289">
        <f>'Main Dimensions Calcs'!I8</f>
        <v>2000</v>
      </c>
      <c r="F10" s="289">
        <f>'Main Dimensions Calcs'!H8</f>
        <v>8</v>
      </c>
      <c r="G10" s="289" t="s">
        <v>489</v>
      </c>
    </row>
    <row r="11" spans="1:7" x14ac:dyDescent="0.2">
      <c r="A11" s="5"/>
      <c r="B11" s="287" t="s">
        <v>491</v>
      </c>
      <c r="C11" s="288">
        <v>6</v>
      </c>
      <c r="D11" s="289">
        <f>ROUNDUP(('Main Dimensions Calcs'!$D$53+F11)*PI()/C11,0)</f>
        <v>10791</v>
      </c>
      <c r="E11" s="289">
        <f>'Main Dimensions Calcs'!I9</f>
        <v>2000</v>
      </c>
      <c r="F11" s="289">
        <f>'Main Dimensions Calcs'!H9</f>
        <v>8</v>
      </c>
      <c r="G11" s="289" t="s">
        <v>489</v>
      </c>
    </row>
    <row r="12" spans="1:7" x14ac:dyDescent="0.2">
      <c r="A12" s="5"/>
      <c r="B12" s="287" t="s">
        <v>492</v>
      </c>
      <c r="C12" s="288">
        <v>6</v>
      </c>
      <c r="D12" s="289">
        <f>ROUNDUP(('Main Dimensions Calcs'!$D$53+F12)*PI()/C12,0)</f>
        <v>10791</v>
      </c>
      <c r="E12" s="289">
        <f>'Main Dimensions Calcs'!I10</f>
        <v>1500</v>
      </c>
      <c r="F12" s="289">
        <f>'Main Dimensions Calcs'!H10</f>
        <v>8</v>
      </c>
      <c r="G12" s="289" t="s">
        <v>489</v>
      </c>
    </row>
    <row r="13" spans="1:7" x14ac:dyDescent="0.2">
      <c r="A13" s="5"/>
      <c r="B13" s="287" t="s">
        <v>493</v>
      </c>
      <c r="C13" s="288">
        <v>6</v>
      </c>
      <c r="D13" s="289">
        <f>ROUNDUP(('Main Dimensions Calcs'!$D$53+F13)*PI()/C13,0)</f>
        <v>10787</v>
      </c>
      <c r="E13" s="289">
        <f>'Main Dimensions Calcs'!I11</f>
        <v>0</v>
      </c>
      <c r="F13" s="289">
        <f>'Main Dimensions Calcs'!H11</f>
        <v>0</v>
      </c>
      <c r="G13" s="289" t="s">
        <v>489</v>
      </c>
    </row>
    <row r="14" spans="1:7" x14ac:dyDescent="0.2">
      <c r="A14" s="5"/>
      <c r="B14" s="287" t="s">
        <v>494</v>
      </c>
      <c r="C14" s="288">
        <v>6</v>
      </c>
      <c r="D14" s="289">
        <f>ROUNDUP(('Main Dimensions Calcs'!$D$53+F14)*PI()/C14,0)</f>
        <v>10787</v>
      </c>
      <c r="E14" s="289">
        <f>'Main Dimensions Calcs'!I12</f>
        <v>0</v>
      </c>
      <c r="F14" s="289">
        <f>'Main Dimensions Calcs'!H12</f>
        <v>0</v>
      </c>
      <c r="G14" s="289" t="s">
        <v>489</v>
      </c>
    </row>
    <row r="15" spans="1:7" x14ac:dyDescent="0.2">
      <c r="A15" s="5"/>
      <c r="B15" s="287" t="s">
        <v>495</v>
      </c>
      <c r="C15" s="288">
        <v>6</v>
      </c>
      <c r="D15" s="289">
        <f>ROUNDUP(('Main Dimensions Calcs'!$D$53+F15)*PI()/C15,0)</f>
        <v>10787</v>
      </c>
      <c r="E15" s="289">
        <f>'Main Dimensions Calcs'!I13</f>
        <v>0</v>
      </c>
      <c r="F15" s="289">
        <f>'Main Dimensions Calcs'!H13</f>
        <v>0</v>
      </c>
      <c r="G15" s="289" t="s">
        <v>489</v>
      </c>
    </row>
    <row r="16" spans="1:7" x14ac:dyDescent="0.2">
      <c r="A16" s="5"/>
      <c r="B16" s="287" t="s">
        <v>496</v>
      </c>
      <c r="C16" s="288">
        <v>6</v>
      </c>
      <c r="D16" s="289">
        <f>ROUNDUP(('Main Dimensions Calcs'!$D$53+F16)*PI()/C16,0)</f>
        <v>10787</v>
      </c>
      <c r="E16" s="289">
        <f>'Main Dimensions Calcs'!J16</f>
        <v>0</v>
      </c>
      <c r="F16" s="289">
        <f>'Main Dimensions Calcs'!H14</f>
        <v>0</v>
      </c>
      <c r="G16" s="289" t="s">
        <v>489</v>
      </c>
    </row>
    <row r="17" spans="1:7" x14ac:dyDescent="0.2">
      <c r="A17" s="5"/>
      <c r="B17" s="287" t="s">
        <v>497</v>
      </c>
      <c r="C17" s="288">
        <v>6</v>
      </c>
      <c r="D17" s="289">
        <f>ROUNDUP(('Main Dimensions Calcs'!$D$53+F17)*PI()/C17,0)</f>
        <v>10787</v>
      </c>
      <c r="E17" s="289">
        <f>'Main Dimensions Calcs'!I15</f>
        <v>0</v>
      </c>
      <c r="F17" s="289">
        <f>'Main Dimensions Calcs'!H15</f>
        <v>0</v>
      </c>
      <c r="G17" s="289" t="s">
        <v>489</v>
      </c>
    </row>
    <row r="18" spans="1:7" x14ac:dyDescent="0.2">
      <c r="A18" s="5"/>
      <c r="B18" s="287" t="s">
        <v>498</v>
      </c>
      <c r="C18" s="288">
        <v>6</v>
      </c>
      <c r="D18" s="289">
        <f>ROUNDUP(('Main Dimensions Calcs'!$D$53+F18)*PI()/C18,0)</f>
        <v>10787</v>
      </c>
      <c r="E18" s="289">
        <f>'Main Dimensions Calcs'!I16</f>
        <v>0</v>
      </c>
      <c r="F18" s="289">
        <f>'Main Dimensions Calcs'!H16</f>
        <v>0</v>
      </c>
      <c r="G18" s="289" t="s">
        <v>489</v>
      </c>
    </row>
    <row r="19" spans="1:7" x14ac:dyDescent="0.2">
      <c r="A19" s="5"/>
      <c r="B19" s="5"/>
      <c r="C19" s="5"/>
      <c r="D19" s="5"/>
      <c r="E19" s="5"/>
      <c r="F19" s="5"/>
      <c r="G19" s="5"/>
    </row>
    <row r="20" spans="1:7" x14ac:dyDescent="0.2">
      <c r="A20" s="5"/>
      <c r="B20" s="5"/>
      <c r="C20" s="5"/>
      <c r="D20" s="5"/>
      <c r="E20" s="5"/>
      <c r="F20" s="5"/>
      <c r="G20" s="5"/>
    </row>
    <row r="21" spans="1:7" x14ac:dyDescent="0.2">
      <c r="A21" s="5"/>
      <c r="B21" s="285" t="s">
        <v>499</v>
      </c>
      <c r="C21" s="5"/>
      <c r="D21" s="5"/>
      <c r="E21" s="5"/>
      <c r="F21" s="5"/>
      <c r="G21" s="5"/>
    </row>
    <row r="22" spans="1:7" x14ac:dyDescent="0.2">
      <c r="A22" s="5"/>
      <c r="B22" s="286" t="s">
        <v>484</v>
      </c>
      <c r="C22" s="286" t="s">
        <v>485</v>
      </c>
      <c r="D22" s="286" t="s">
        <v>486</v>
      </c>
      <c r="E22" s="286" t="s">
        <v>451</v>
      </c>
      <c r="F22" s="286" t="s">
        <v>327</v>
      </c>
      <c r="G22" s="286" t="s">
        <v>487</v>
      </c>
    </row>
    <row r="23" spans="1:7" x14ac:dyDescent="0.2">
      <c r="A23" s="5"/>
      <c r="B23" s="290">
        <v>1</v>
      </c>
      <c r="C23" s="288">
        <v>1</v>
      </c>
      <c r="D23" s="289">
        <v>7426</v>
      </c>
      <c r="E23" s="289">
        <v>2000</v>
      </c>
      <c r="F23" s="289">
        <v>8</v>
      </c>
      <c r="G23" s="289" t="s">
        <v>489</v>
      </c>
    </row>
    <row r="24" spans="1:7" x14ac:dyDescent="0.2">
      <c r="A24" s="5"/>
      <c r="B24" s="290">
        <v>2</v>
      </c>
      <c r="C24" s="288">
        <v>12</v>
      </c>
      <c r="D24" s="289">
        <v>8415</v>
      </c>
      <c r="E24" s="289">
        <v>2000</v>
      </c>
      <c r="F24" s="289">
        <v>7</v>
      </c>
      <c r="G24" s="289" t="s">
        <v>489</v>
      </c>
    </row>
    <row r="25" spans="1:7" x14ac:dyDescent="0.2">
      <c r="A25" s="5"/>
      <c r="B25" s="290">
        <v>3</v>
      </c>
      <c r="C25" s="288">
        <v>3</v>
      </c>
      <c r="D25" s="289">
        <v>3941</v>
      </c>
      <c r="E25" s="289">
        <v>1760</v>
      </c>
      <c r="F25" s="289">
        <v>12</v>
      </c>
      <c r="G25" s="289" t="s">
        <v>489</v>
      </c>
    </row>
    <row r="26" spans="1:7" x14ac:dyDescent="0.2">
      <c r="A26" s="5"/>
      <c r="B26" s="248"/>
      <c r="C26" s="5"/>
      <c r="D26" s="5"/>
      <c r="E26" s="5"/>
      <c r="F26" s="5"/>
      <c r="G26" s="5"/>
    </row>
    <row r="27" spans="1:7" x14ac:dyDescent="0.2">
      <c r="A27" s="5"/>
      <c r="B27" s="291" t="s">
        <v>500</v>
      </c>
      <c r="C27" s="5"/>
      <c r="D27" s="5"/>
      <c r="E27" s="5"/>
      <c r="F27" s="5"/>
      <c r="G27" s="5"/>
    </row>
    <row r="28" spans="1:7" x14ac:dyDescent="0.2">
      <c r="A28" s="5"/>
      <c r="B28" s="292" t="s">
        <v>484</v>
      </c>
      <c r="C28" s="286" t="s">
        <v>485</v>
      </c>
      <c r="D28" s="286" t="s">
        <v>486</v>
      </c>
      <c r="E28" s="286" t="s">
        <v>451</v>
      </c>
      <c r="F28" s="286" t="s">
        <v>327</v>
      </c>
      <c r="G28" s="286" t="s">
        <v>487</v>
      </c>
    </row>
    <row r="29" spans="1:7" x14ac:dyDescent="0.2">
      <c r="A29" s="5"/>
      <c r="B29" s="290">
        <v>5</v>
      </c>
      <c r="C29" s="288">
        <v>3</v>
      </c>
      <c r="D29" s="289">
        <v>7426</v>
      </c>
      <c r="E29" s="289">
        <v>2000</v>
      </c>
      <c r="F29" s="289">
        <v>8</v>
      </c>
      <c r="G29" s="289" t="s">
        <v>489</v>
      </c>
    </row>
    <row r="30" spans="1:7" x14ac:dyDescent="0.2">
      <c r="A30" s="5"/>
      <c r="B30" s="287" t="s">
        <v>501</v>
      </c>
      <c r="C30" s="288">
        <v>3</v>
      </c>
      <c r="D30" s="289">
        <v>6000</v>
      </c>
      <c r="E30" s="289">
        <v>2000</v>
      </c>
      <c r="F30" s="289">
        <v>5</v>
      </c>
      <c r="G30" s="289" t="s">
        <v>489</v>
      </c>
    </row>
    <row r="31" spans="1:7" x14ac:dyDescent="0.2">
      <c r="A31" s="5"/>
      <c r="B31" s="287" t="s">
        <v>502</v>
      </c>
      <c r="C31" s="288">
        <v>3</v>
      </c>
      <c r="D31" s="289">
        <v>4690</v>
      </c>
      <c r="E31" s="289">
        <v>2000</v>
      </c>
      <c r="F31" s="289">
        <v>5</v>
      </c>
      <c r="G31" s="289" t="s">
        <v>489</v>
      </c>
    </row>
    <row r="32" spans="1:7" x14ac:dyDescent="0.2">
      <c r="A32" s="5"/>
      <c r="B32" s="287" t="s">
        <v>503</v>
      </c>
      <c r="C32" s="288">
        <v>2</v>
      </c>
      <c r="D32" s="289">
        <v>6000</v>
      </c>
      <c r="E32" s="289">
        <v>2000</v>
      </c>
      <c r="F32" s="289">
        <v>5</v>
      </c>
      <c r="G32" s="289" t="s">
        <v>489</v>
      </c>
    </row>
    <row r="33" spans="1:7" x14ac:dyDescent="0.2">
      <c r="A33" s="5"/>
      <c r="B33" s="287" t="s">
        <v>504</v>
      </c>
      <c r="C33" s="288">
        <v>2</v>
      </c>
      <c r="D33" s="289">
        <v>4690</v>
      </c>
      <c r="E33" s="289">
        <v>2000</v>
      </c>
      <c r="F33" s="289">
        <v>5</v>
      </c>
      <c r="G33" s="289" t="s">
        <v>489</v>
      </c>
    </row>
    <row r="34" spans="1:7" x14ac:dyDescent="0.2">
      <c r="A34" s="5"/>
      <c r="B34" s="287" t="s">
        <v>505</v>
      </c>
      <c r="C34" s="288">
        <v>1</v>
      </c>
      <c r="D34" s="289">
        <v>7551</v>
      </c>
      <c r="E34" s="289">
        <v>2000</v>
      </c>
      <c r="F34" s="289">
        <v>5</v>
      </c>
      <c r="G34" s="289" t="s">
        <v>489</v>
      </c>
    </row>
    <row r="35" spans="1:7" x14ac:dyDescent="0.2">
      <c r="A35" s="5"/>
      <c r="B35" s="287" t="s">
        <v>506</v>
      </c>
      <c r="C35" s="288">
        <v>1</v>
      </c>
      <c r="D35" s="289">
        <v>6271</v>
      </c>
      <c r="E35" s="289">
        <v>2000</v>
      </c>
      <c r="F35" s="289">
        <v>5</v>
      </c>
      <c r="G35" s="289" t="s">
        <v>489</v>
      </c>
    </row>
    <row r="36" spans="1:7" x14ac:dyDescent="0.2">
      <c r="A36" s="5"/>
      <c r="B36" s="287" t="s">
        <v>507</v>
      </c>
      <c r="C36" s="288">
        <v>1</v>
      </c>
      <c r="D36" s="289">
        <v>5924</v>
      </c>
      <c r="E36" s="289">
        <v>2000</v>
      </c>
      <c r="F36" s="289">
        <v>5</v>
      </c>
      <c r="G36" s="289" t="s">
        <v>489</v>
      </c>
    </row>
    <row r="37" spans="1:7" x14ac:dyDescent="0.2">
      <c r="A37" s="5"/>
      <c r="B37" s="287" t="s">
        <v>508</v>
      </c>
      <c r="C37" s="288">
        <v>1</v>
      </c>
      <c r="D37" s="289">
        <v>4645</v>
      </c>
      <c r="E37" s="289">
        <v>2000</v>
      </c>
      <c r="F37" s="289">
        <v>5</v>
      </c>
      <c r="G37" s="289" t="s">
        <v>489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/>
      <c r="B40" s="284" t="s">
        <v>509</v>
      </c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  <row r="42" spans="1:7" x14ac:dyDescent="0.2">
      <c r="A42" s="5"/>
      <c r="B42" s="285" t="s">
        <v>483</v>
      </c>
      <c r="C42" s="5"/>
      <c r="D42" s="5"/>
      <c r="E42" s="5"/>
      <c r="F42" s="5"/>
      <c r="G42" s="5"/>
    </row>
    <row r="43" spans="1:7" x14ac:dyDescent="0.2">
      <c r="A43" s="5"/>
      <c r="B43" s="286" t="s">
        <v>484</v>
      </c>
      <c r="C43" s="286" t="s">
        <v>485</v>
      </c>
      <c r="D43" s="286" t="s">
        <v>486</v>
      </c>
      <c r="E43" s="286" t="s">
        <v>451</v>
      </c>
      <c r="F43" s="286" t="s">
        <v>327</v>
      </c>
      <c r="G43" s="286" t="s">
        <v>487</v>
      </c>
    </row>
    <row r="44" spans="1:7" x14ac:dyDescent="0.2">
      <c r="A44" s="5"/>
      <c r="B44" s="287" t="s">
        <v>488</v>
      </c>
      <c r="C44" s="288">
        <v>7</v>
      </c>
      <c r="D44" s="289">
        <f>ROUNDUP(('Main Dimensions Calcs'!$D$32+F44)*PI()/C44,0)</f>
        <v>10505</v>
      </c>
      <c r="E44" s="289">
        <f>'Main Dimensions Calcs'!I25</f>
        <v>2229</v>
      </c>
      <c r="F44" s="289">
        <f>'Main Dimensions Calcs'!H25</f>
        <v>6</v>
      </c>
      <c r="G44" s="293" t="s">
        <v>510</v>
      </c>
    </row>
    <row r="45" spans="1:7" x14ac:dyDescent="0.2">
      <c r="A45" s="5"/>
      <c r="B45" s="287" t="s">
        <v>490</v>
      </c>
      <c r="C45" s="288">
        <v>7</v>
      </c>
      <c r="D45" s="289">
        <f>ROUNDUP(('Main Dimensions Calcs'!$D$32+F45)*PI()/C45,0)</f>
        <v>10505</v>
      </c>
      <c r="E45" s="289">
        <f>'Main Dimensions Calcs'!I26</f>
        <v>2229</v>
      </c>
      <c r="F45" s="289">
        <f>'Main Dimensions Calcs'!H26</f>
        <v>6</v>
      </c>
      <c r="G45" s="293" t="s">
        <v>510</v>
      </c>
    </row>
    <row r="46" spans="1:7" x14ac:dyDescent="0.2">
      <c r="A46" s="5"/>
      <c r="B46" s="287" t="s">
        <v>491</v>
      </c>
      <c r="C46" s="288">
        <v>7</v>
      </c>
      <c r="D46" s="289">
        <f>ROUNDUP(('Main Dimensions Calcs'!$D$32+F46)*PI()/C46,0)</f>
        <v>10505</v>
      </c>
      <c r="E46" s="289">
        <f>'Main Dimensions Calcs'!I27</f>
        <v>2229</v>
      </c>
      <c r="F46" s="289">
        <f>'Main Dimensions Calcs'!H27</f>
        <v>6</v>
      </c>
      <c r="G46" s="293" t="s">
        <v>510</v>
      </c>
    </row>
    <row r="47" spans="1:7" x14ac:dyDescent="0.2">
      <c r="A47" s="5"/>
      <c r="B47" s="287" t="s">
        <v>492</v>
      </c>
      <c r="C47" s="288">
        <v>7</v>
      </c>
      <c r="D47" s="289">
        <f>ROUNDUP(('Main Dimensions Calcs'!$D$32+F47)*PI()/C47,0)</f>
        <v>10505</v>
      </c>
      <c r="E47" s="289">
        <f>'Main Dimensions Calcs'!I28</f>
        <v>2229</v>
      </c>
      <c r="F47" s="289">
        <f>'Main Dimensions Calcs'!H28</f>
        <v>6</v>
      </c>
      <c r="G47" s="293" t="s">
        <v>510</v>
      </c>
    </row>
    <row r="48" spans="1:7" x14ac:dyDescent="0.2">
      <c r="A48" s="5"/>
      <c r="B48" s="287" t="s">
        <v>493</v>
      </c>
      <c r="C48" s="288">
        <v>7</v>
      </c>
      <c r="D48" s="289">
        <f>ROUNDUP(('Main Dimensions Calcs'!$D$32+F48)*PI()/C48,0)</f>
        <v>10502</v>
      </c>
      <c r="E48" s="289">
        <f>'Main Dimensions Calcs'!I29</f>
        <v>0</v>
      </c>
      <c r="F48" s="289">
        <f>'Main Dimensions Calcs'!H29</f>
        <v>0</v>
      </c>
      <c r="G48" s="293" t="s">
        <v>510</v>
      </c>
    </row>
    <row r="49" spans="1:7" x14ac:dyDescent="0.2">
      <c r="A49" s="5"/>
      <c r="B49" s="287" t="s">
        <v>494</v>
      </c>
      <c r="C49" s="288">
        <v>7</v>
      </c>
      <c r="D49" s="289">
        <f>ROUNDUP(('Main Dimensions Calcs'!$D$32+F49)*PI()/C49,0)</f>
        <v>10502</v>
      </c>
      <c r="E49" s="289">
        <f>'Main Dimensions Calcs'!I30</f>
        <v>0</v>
      </c>
      <c r="F49" s="289">
        <f>'Main Dimensions Calcs'!H30</f>
        <v>0</v>
      </c>
      <c r="G49" s="293" t="s">
        <v>510</v>
      </c>
    </row>
    <row r="50" spans="1:7" x14ac:dyDescent="0.2">
      <c r="A50" s="5"/>
      <c r="B50" s="287" t="s">
        <v>495</v>
      </c>
      <c r="C50" s="288">
        <v>7</v>
      </c>
      <c r="D50" s="289">
        <f>ROUNDUP(('Main Dimensions Calcs'!$D$32+F50)*PI()/C50,0)</f>
        <v>10502</v>
      </c>
      <c r="E50" s="289">
        <f>'Main Dimensions Calcs'!I31</f>
        <v>0</v>
      </c>
      <c r="F50" s="289">
        <f>'Main Dimensions Calcs'!H31</f>
        <v>0</v>
      </c>
      <c r="G50" s="293" t="s">
        <v>510</v>
      </c>
    </row>
    <row r="51" spans="1:7" x14ac:dyDescent="0.2">
      <c r="A51" s="5"/>
      <c r="B51" s="290">
        <v>3</v>
      </c>
      <c r="C51" s="288">
        <v>3</v>
      </c>
      <c r="D51" s="289">
        <v>5013</v>
      </c>
      <c r="E51" s="289">
        <v>1974</v>
      </c>
      <c r="F51" s="289">
        <v>12</v>
      </c>
      <c r="G51" s="293" t="s">
        <v>510</v>
      </c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285" t="s">
        <v>499</v>
      </c>
      <c r="C53" s="5"/>
      <c r="D53" s="5"/>
      <c r="E53" s="5"/>
      <c r="F53" s="5"/>
      <c r="G53" s="5"/>
    </row>
    <row r="54" spans="1:7" x14ac:dyDescent="0.2">
      <c r="A54" s="5"/>
      <c r="B54" s="286" t="s">
        <v>484</v>
      </c>
      <c r="C54" s="286" t="s">
        <v>485</v>
      </c>
      <c r="D54" s="286" t="s">
        <v>486</v>
      </c>
      <c r="E54" s="286" t="s">
        <v>451</v>
      </c>
      <c r="F54" s="286" t="s">
        <v>327</v>
      </c>
      <c r="G54" s="286" t="s">
        <v>487</v>
      </c>
    </row>
    <row r="55" spans="1:7" x14ac:dyDescent="0.2">
      <c r="A55" s="5"/>
      <c r="B55" s="290">
        <v>1</v>
      </c>
      <c r="C55" s="288">
        <v>1</v>
      </c>
      <c r="D55" s="289">
        <v>8446</v>
      </c>
      <c r="E55" s="289">
        <v>2260</v>
      </c>
      <c r="F55" s="289">
        <v>10</v>
      </c>
      <c r="G55" s="293" t="s">
        <v>510</v>
      </c>
    </row>
    <row r="56" spans="1:7" x14ac:dyDescent="0.2">
      <c r="A56" s="5"/>
      <c r="B56" s="290">
        <v>2</v>
      </c>
      <c r="C56" s="288">
        <v>14</v>
      </c>
      <c r="D56" s="289">
        <v>9917</v>
      </c>
      <c r="E56" s="289">
        <v>2200</v>
      </c>
      <c r="F56" s="289">
        <v>9</v>
      </c>
      <c r="G56" s="293" t="s">
        <v>510</v>
      </c>
    </row>
    <row r="57" spans="1:7" x14ac:dyDescent="0.2">
      <c r="A57" s="5"/>
      <c r="B57" s="248"/>
      <c r="C57" s="5"/>
      <c r="D57" s="5"/>
      <c r="E57" s="5"/>
      <c r="F57" s="5"/>
      <c r="G57" s="5"/>
    </row>
    <row r="58" spans="1:7" x14ac:dyDescent="0.2">
      <c r="A58" s="5"/>
      <c r="B58" s="291" t="s">
        <v>500</v>
      </c>
      <c r="C58" s="5"/>
      <c r="D58" s="5"/>
      <c r="E58" s="5"/>
      <c r="F58" s="5"/>
      <c r="G58" s="5"/>
    </row>
    <row r="59" spans="1:7" x14ac:dyDescent="0.2">
      <c r="A59" s="5"/>
      <c r="B59" s="292" t="s">
        <v>484</v>
      </c>
      <c r="C59" s="286" t="s">
        <v>485</v>
      </c>
      <c r="D59" s="286" t="s">
        <v>486</v>
      </c>
      <c r="E59" s="286" t="s">
        <v>451</v>
      </c>
      <c r="F59" s="286" t="s">
        <v>327</v>
      </c>
      <c r="G59" s="286" t="s">
        <v>487</v>
      </c>
    </row>
    <row r="60" spans="1:7" x14ac:dyDescent="0.2">
      <c r="A60" s="5"/>
      <c r="B60" s="290">
        <v>5</v>
      </c>
      <c r="C60" s="288">
        <v>3</v>
      </c>
      <c r="D60" s="289">
        <v>7426</v>
      </c>
      <c r="E60" s="289">
        <v>2000</v>
      </c>
      <c r="F60" s="289">
        <v>8</v>
      </c>
      <c r="G60" s="293" t="s">
        <v>510</v>
      </c>
    </row>
    <row r="61" spans="1:7" x14ac:dyDescent="0.2">
      <c r="A61" s="5"/>
      <c r="B61" s="287" t="s">
        <v>501</v>
      </c>
      <c r="C61" s="288">
        <v>2</v>
      </c>
      <c r="D61" s="289">
        <v>8384</v>
      </c>
      <c r="E61" s="289">
        <v>2200</v>
      </c>
      <c r="F61" s="289">
        <v>5</v>
      </c>
      <c r="G61" s="293" t="s">
        <v>510</v>
      </c>
    </row>
    <row r="62" spans="1:7" x14ac:dyDescent="0.2">
      <c r="A62" s="5"/>
      <c r="B62" s="287" t="s">
        <v>502</v>
      </c>
      <c r="C62" s="288">
        <v>1</v>
      </c>
      <c r="D62" s="289">
        <v>5258</v>
      </c>
      <c r="E62" s="289">
        <v>1658</v>
      </c>
      <c r="F62" s="289">
        <v>5</v>
      </c>
      <c r="G62" s="293" t="s">
        <v>510</v>
      </c>
    </row>
    <row r="63" spans="1:7" x14ac:dyDescent="0.2">
      <c r="A63" s="5"/>
      <c r="B63" s="287" t="s">
        <v>503</v>
      </c>
      <c r="C63" s="288">
        <v>2</v>
      </c>
      <c r="D63" s="289">
        <v>9000</v>
      </c>
      <c r="E63" s="289">
        <v>2200</v>
      </c>
      <c r="F63" s="289">
        <v>5</v>
      </c>
      <c r="G63" s="293" t="s">
        <v>510</v>
      </c>
    </row>
    <row r="64" spans="1:7" x14ac:dyDescent="0.2">
      <c r="A64" s="5"/>
      <c r="B64" s="287" t="s">
        <v>504</v>
      </c>
      <c r="C64" s="288">
        <v>2</v>
      </c>
      <c r="D64" s="289">
        <v>7633</v>
      </c>
      <c r="E64" s="289">
        <v>2200</v>
      </c>
      <c r="F64" s="289">
        <v>5</v>
      </c>
      <c r="G64" s="293" t="s">
        <v>510</v>
      </c>
    </row>
    <row r="65" spans="1:7" x14ac:dyDescent="0.2">
      <c r="A65" s="5"/>
      <c r="B65" s="287" t="s">
        <v>505</v>
      </c>
      <c r="C65" s="288">
        <v>4</v>
      </c>
      <c r="D65" s="289">
        <v>7743</v>
      </c>
      <c r="E65" s="289">
        <v>2200</v>
      </c>
      <c r="F65" s="289">
        <v>5</v>
      </c>
      <c r="G65" s="293" t="s">
        <v>510</v>
      </c>
    </row>
    <row r="66" spans="1:7" x14ac:dyDescent="0.2">
      <c r="A66" s="5"/>
      <c r="B66" s="287" t="s">
        <v>506</v>
      </c>
      <c r="C66" s="288">
        <v>2</v>
      </c>
      <c r="D66" s="289">
        <v>7514</v>
      </c>
      <c r="E66" s="289">
        <v>2200</v>
      </c>
      <c r="F66" s="289">
        <v>5</v>
      </c>
      <c r="G66" s="293" t="s">
        <v>510</v>
      </c>
    </row>
    <row r="67" spans="1:7" x14ac:dyDescent="0.2">
      <c r="A67" s="5"/>
      <c r="B67" s="287" t="s">
        <v>507</v>
      </c>
      <c r="C67" s="288">
        <v>2</v>
      </c>
      <c r="D67" s="289">
        <v>5334</v>
      </c>
      <c r="E67" s="289">
        <v>2200</v>
      </c>
      <c r="F67" s="289">
        <v>5</v>
      </c>
      <c r="G67" s="293" t="s">
        <v>510</v>
      </c>
    </row>
  </sheetData>
  <pageMargins left="0.7" right="0.7" top="0.75" bottom="0.75" header="0.3" footer="0.3"/>
  <pageSetup paperSize="9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00"/>
  <sheetViews>
    <sheetView topLeftCell="A53" workbookViewId="0">
      <selection activeCell="H33" sqref="H33"/>
    </sheetView>
    <sheetView tabSelected="1" topLeftCell="A39" zoomScale="85" zoomScaleNormal="85" workbookViewId="1">
      <selection sqref="A1:AK5"/>
    </sheetView>
  </sheetViews>
  <sheetFormatPr defaultColWidth="11.42578125" defaultRowHeight="12.75" x14ac:dyDescent="0.2"/>
  <cols>
    <col min="1" max="1" width="17.140625" customWidth="1"/>
    <col min="2" max="2" width="7.42578125" customWidth="1"/>
    <col min="3" max="3" width="10.85546875" customWidth="1"/>
    <col min="4" max="4" width="10" customWidth="1"/>
    <col min="5" max="6" width="10.140625" customWidth="1"/>
    <col min="7" max="7" width="11" customWidth="1"/>
    <col min="8" max="8" width="12.140625" customWidth="1"/>
    <col min="9" max="9" width="10.42578125" customWidth="1"/>
    <col min="10" max="10" width="11.140625" customWidth="1"/>
    <col min="11" max="12" width="13.85546875" customWidth="1"/>
    <col min="13" max="13" width="15.85546875" customWidth="1"/>
    <col min="14" max="14" width="16.85546875" customWidth="1"/>
    <col min="15" max="15" width="16" customWidth="1"/>
    <col min="16" max="16" width="15.85546875" customWidth="1"/>
    <col min="17" max="17" width="16" customWidth="1"/>
    <col min="18" max="18" width="15.140625" customWidth="1"/>
  </cols>
  <sheetData>
    <row r="1" spans="1:29" x14ac:dyDescent="0.2">
      <c r="A1" s="5" t="s">
        <v>511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20.25" customHeight="1" x14ac:dyDescent="0.3">
      <c r="A2" s="949" t="s">
        <v>512</v>
      </c>
      <c r="B2" s="809"/>
      <c r="C2" s="809"/>
      <c r="D2" s="809"/>
      <c r="E2" s="809"/>
      <c r="F2" s="809"/>
      <c r="G2" s="809"/>
      <c r="H2" s="809"/>
      <c r="I2" s="80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7" customHeight="1" x14ac:dyDescent="0.3">
      <c r="A3" s="295" t="s">
        <v>513</v>
      </c>
      <c r="B3" s="118">
        <v>8000</v>
      </c>
      <c r="C3" s="294"/>
      <c r="D3" s="294"/>
      <c r="E3" s="294"/>
      <c r="F3" s="294"/>
      <c r="G3" s="294"/>
      <c r="H3" s="294"/>
      <c r="I3" s="29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5.75" customHeight="1" x14ac:dyDescent="0.25">
      <c r="A4" s="5"/>
      <c r="B4" s="950" t="s">
        <v>514</v>
      </c>
      <c r="C4" s="809"/>
      <c r="D4" s="809"/>
      <c r="E4" s="809"/>
      <c r="F4" s="296" t="s">
        <v>515</v>
      </c>
      <c r="G4" s="296" t="s">
        <v>516</v>
      </c>
      <c r="H4" s="212"/>
      <c r="I4" s="212"/>
      <c r="J4" s="21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.75" customHeight="1" x14ac:dyDescent="0.25">
      <c r="A5" s="296" t="s">
        <v>381</v>
      </c>
      <c r="B5" s="212"/>
      <c r="C5" s="212"/>
      <c r="D5" s="212"/>
      <c r="E5" s="212"/>
      <c r="F5" s="212"/>
      <c r="G5" s="212"/>
      <c r="H5" s="212"/>
      <c r="I5" s="212"/>
      <c r="J5" s="21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25.5" customHeight="1" x14ac:dyDescent="0.2">
      <c r="A6" s="212" t="s">
        <v>517</v>
      </c>
      <c r="B6" s="218" t="s">
        <v>377</v>
      </c>
      <c r="C6" s="218" t="s">
        <v>378</v>
      </c>
      <c r="D6" s="218" t="s">
        <v>379</v>
      </c>
      <c r="E6" s="218" t="s">
        <v>327</v>
      </c>
      <c r="F6" s="218"/>
      <c r="G6" s="218"/>
      <c r="H6" s="212" t="s">
        <v>518</v>
      </c>
      <c r="I6" s="212" t="s">
        <v>519</v>
      </c>
      <c r="J6" s="212" t="s">
        <v>520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">
      <c r="A7" s="212" t="s">
        <v>382</v>
      </c>
      <c r="B7" s="218">
        <f>'Main Dimensions Calcs'!C63</f>
        <v>60</v>
      </c>
      <c r="C7" s="218">
        <f>'Main Dimensions Calcs'!D63</f>
        <v>220</v>
      </c>
      <c r="D7" s="218">
        <f>'Main Dimensions Calcs'!E63</f>
        <v>220</v>
      </c>
      <c r="E7" s="218">
        <f>'Main Dimensions Calcs'!F63</f>
        <v>30</v>
      </c>
      <c r="F7" s="218">
        <f>C7*D7*E7*$B$3*0.000000001*B7</f>
        <v>696.96</v>
      </c>
      <c r="G7" s="218">
        <v>1.05</v>
      </c>
      <c r="H7" s="212">
        <f>F7*G7</f>
        <v>731.80800000000011</v>
      </c>
      <c r="I7" s="297">
        <v>3.5</v>
      </c>
      <c r="J7" s="212">
        <f>H7*I7</f>
        <v>2561.3280000000004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x14ac:dyDescent="0.2">
      <c r="A8" s="212" t="s">
        <v>383</v>
      </c>
      <c r="B8" s="218">
        <f>'Main Dimensions Calcs'!C64</f>
        <v>60</v>
      </c>
      <c r="C8" s="218">
        <f>'Main Dimensions Calcs'!D64</f>
        <v>120</v>
      </c>
      <c r="D8" s="218">
        <f>'Main Dimensions Calcs'!E64</f>
        <v>16</v>
      </c>
      <c r="E8" s="218">
        <f>'Main Dimensions Calcs'!F64</f>
        <v>2700</v>
      </c>
      <c r="F8" s="218">
        <f>C8*D8*E8*$B$3*0.000000001*B8</f>
        <v>2488.3200000000002</v>
      </c>
      <c r="G8" s="218">
        <v>1.02</v>
      </c>
      <c r="H8" s="212">
        <f>F8*G8</f>
        <v>2538.0864000000001</v>
      </c>
      <c r="I8" s="297">
        <v>3.5</v>
      </c>
      <c r="J8" s="212">
        <f>H8*I8</f>
        <v>8883.3024000000005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25.5" customHeight="1" x14ac:dyDescent="0.2">
      <c r="A9" s="212" t="s">
        <v>521</v>
      </c>
      <c r="B9" s="218">
        <f>B8</f>
        <v>60</v>
      </c>
      <c r="C9" s="218">
        <v>200</v>
      </c>
      <c r="D9" s="218">
        <v>250</v>
      </c>
      <c r="E9" s="218">
        <v>10</v>
      </c>
      <c r="F9" s="218">
        <f>C9*D9*E9*$B$3*0.000000001*B9</f>
        <v>240</v>
      </c>
      <c r="G9" s="218">
        <v>1.05</v>
      </c>
      <c r="H9" s="212">
        <f>F9*G9</f>
        <v>252</v>
      </c>
      <c r="I9" s="297">
        <v>2.95</v>
      </c>
      <c r="J9" s="212">
        <f>H9*I9</f>
        <v>743.40000000000009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x14ac:dyDescent="0.2">
      <c r="A10" s="212"/>
      <c r="B10" s="218"/>
      <c r="C10" s="218"/>
      <c r="D10" s="218"/>
      <c r="E10" s="218"/>
      <c r="F10" s="211"/>
      <c r="G10" s="218"/>
      <c r="H10" s="212"/>
      <c r="I10" s="297"/>
      <c r="J10" s="21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x14ac:dyDescent="0.2">
      <c r="A11" s="212"/>
      <c r="B11" s="218"/>
      <c r="C11" s="218"/>
      <c r="D11" s="218"/>
      <c r="E11" s="218"/>
      <c r="F11" s="218"/>
      <c r="G11" s="218"/>
      <c r="H11" s="212"/>
      <c r="I11" s="297"/>
      <c r="J11" s="21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5.75" customHeight="1" x14ac:dyDescent="0.25">
      <c r="A12" s="296" t="s">
        <v>522</v>
      </c>
      <c r="B12" s="218"/>
      <c r="C12" s="218"/>
      <c r="D12" s="218"/>
      <c r="E12" s="218"/>
      <c r="F12" s="218"/>
      <c r="G12" s="218"/>
      <c r="H12" s="212"/>
      <c r="I12" s="297"/>
      <c r="J12" s="21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25.5" customHeight="1" x14ac:dyDescent="0.2">
      <c r="A13" s="212"/>
      <c r="B13" s="298" t="s">
        <v>523</v>
      </c>
      <c r="C13" s="298" t="s">
        <v>524</v>
      </c>
      <c r="D13" s="298" t="s">
        <v>525</v>
      </c>
      <c r="E13" s="298" t="s">
        <v>526</v>
      </c>
      <c r="F13" s="218"/>
      <c r="G13" s="218"/>
      <c r="H13" s="212"/>
      <c r="I13" s="297"/>
      <c r="J13" s="212"/>
      <c r="K13" s="5" t="s">
        <v>527</v>
      </c>
      <c r="L13" s="5" t="s">
        <v>528</v>
      </c>
      <c r="M13" s="5" t="s">
        <v>529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x14ac:dyDescent="0.2">
      <c r="A14" s="212" t="s">
        <v>530</v>
      </c>
      <c r="B14" s="299">
        <f>'Main Dimensions Calcs'!D53</f>
        <v>20600</v>
      </c>
      <c r="C14" s="299">
        <v>130</v>
      </c>
      <c r="D14" s="299">
        <v>600</v>
      </c>
      <c r="E14" s="299">
        <v>8</v>
      </c>
      <c r="F14" s="299">
        <f>((B14+C14*2)^2-(B14-2*D14)^2)*PI()/4*B3*0.000000001*E14</f>
        <v>2954.5849526551456</v>
      </c>
      <c r="G14" s="218">
        <v>1</v>
      </c>
      <c r="H14" s="212">
        <f>F14*G14</f>
        <v>2954.5849526551456</v>
      </c>
      <c r="I14" s="297">
        <v>2.95</v>
      </c>
      <c r="J14" s="212">
        <f>H14*I14</f>
        <v>8716.0256103326792</v>
      </c>
      <c r="K14" s="5">
        <f>F14/E14/8</f>
        <v>46.16538988523665</v>
      </c>
      <c r="L14" s="5">
        <f>K14*1.2</f>
        <v>55.398467862283979</v>
      </c>
      <c r="M14" s="5">
        <f>L14/2</f>
        <v>27.69923393114199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x14ac:dyDescent="0.2">
      <c r="A15" s="212"/>
      <c r="B15" s="299"/>
      <c r="C15" s="299"/>
      <c r="D15" s="299"/>
      <c r="E15" s="299"/>
      <c r="F15" s="299"/>
      <c r="G15" s="218">
        <v>1</v>
      </c>
      <c r="H15" s="212"/>
      <c r="I15" s="297"/>
      <c r="J15" s="212"/>
      <c r="K15" s="5" t="s">
        <v>527</v>
      </c>
      <c r="L15" s="5" t="s">
        <v>531</v>
      </c>
      <c r="M15" s="5" t="s">
        <v>532</v>
      </c>
      <c r="N15" s="5" t="s">
        <v>533</v>
      </c>
      <c r="O15" s="5" t="s">
        <v>534</v>
      </c>
      <c r="P15" s="5" t="s">
        <v>535</v>
      </c>
      <c r="Q15" s="5" t="s">
        <v>536</v>
      </c>
      <c r="R15" s="5" t="s">
        <v>537</v>
      </c>
      <c r="S15" s="5" t="s">
        <v>538</v>
      </c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x14ac:dyDescent="0.2">
      <c r="A16" s="212" t="s">
        <v>522</v>
      </c>
      <c r="B16" s="299">
        <f>'Main Dimensions Calcs'!D53</f>
        <v>20600</v>
      </c>
      <c r="C16" s="299">
        <v>0</v>
      </c>
      <c r="D16" s="299">
        <v>600</v>
      </c>
      <c r="E16" s="299">
        <v>5</v>
      </c>
      <c r="F16" s="299">
        <f>(B16-D16*2)^2*PI()/4*0.000000001*B3*E16</f>
        <v>11823.698111050546</v>
      </c>
      <c r="G16" s="218">
        <v>1</v>
      </c>
      <c r="H16" s="212">
        <f>F16*G16</f>
        <v>11823.698111050546</v>
      </c>
      <c r="I16" s="297">
        <v>2.95</v>
      </c>
      <c r="J16" s="212">
        <f>H16*I16</f>
        <v>34879.909427599116</v>
      </c>
      <c r="K16" s="5">
        <f>(B16-D16*2)^2*PI()/4000000</f>
        <v>295.59245277626366</v>
      </c>
      <c r="L16" s="5">
        <v>1.02</v>
      </c>
      <c r="M16" s="5">
        <f>K16*L16</f>
        <v>301.50430183178895</v>
      </c>
      <c r="N16" s="5">
        <v>1.1499999999999999</v>
      </c>
      <c r="O16" s="5">
        <f>M16*N16</f>
        <v>346.72994710655729</v>
      </c>
      <c r="P16" s="5">
        <v>2000</v>
      </c>
      <c r="Q16" s="5">
        <f>O16/(P16/1000)</f>
        <v>173.36497355327865</v>
      </c>
      <c r="R16" s="5">
        <v>6</v>
      </c>
      <c r="S16" s="5">
        <f>Q16/R16</f>
        <v>28.894162258879774</v>
      </c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5.5" customHeight="1" x14ac:dyDescent="0.2">
      <c r="A17" s="212" t="s">
        <v>539</v>
      </c>
      <c r="B17" s="299">
        <f>B7</f>
        <v>60</v>
      </c>
      <c r="C17" s="299">
        <v>400</v>
      </c>
      <c r="D17" s="299">
        <v>300</v>
      </c>
      <c r="E17" s="299">
        <v>5</v>
      </c>
      <c r="F17" s="299">
        <f>E17*D17*C17*B17*B3*0.000000001</f>
        <v>288</v>
      </c>
      <c r="G17" s="218">
        <v>1</v>
      </c>
      <c r="H17" s="212">
        <f>F17*G17</f>
        <v>288</v>
      </c>
      <c r="I17" s="297">
        <v>2.95</v>
      </c>
      <c r="J17" s="212">
        <f>H17*I17</f>
        <v>849.6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x14ac:dyDescent="0.2">
      <c r="A18" s="212"/>
      <c r="B18" s="218" t="s">
        <v>540</v>
      </c>
      <c r="C18" s="218" t="s">
        <v>541</v>
      </c>
      <c r="D18" s="218" t="s">
        <v>542</v>
      </c>
      <c r="E18" s="218" t="s">
        <v>526</v>
      </c>
      <c r="F18" s="218"/>
      <c r="G18" s="218">
        <v>1</v>
      </c>
      <c r="H18" s="212"/>
      <c r="I18" s="297">
        <v>2.95</v>
      </c>
      <c r="J18" s="21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25.5" customHeight="1" x14ac:dyDescent="0.2">
      <c r="A19" s="212" t="s">
        <v>543</v>
      </c>
      <c r="B19" s="218">
        <v>300</v>
      </c>
      <c r="C19" s="218">
        <f>('Main Dimensions Calcs'!D53+B19*2)*PI()+3000</f>
        <v>69601.764256103619</v>
      </c>
      <c r="D19" s="218">
        <f>'Main Dimensions Calcs'!E81+'Main Dimensions Calcs'!E83</f>
        <v>900</v>
      </c>
      <c r="E19" s="218">
        <v>0.5</v>
      </c>
      <c r="F19" s="218">
        <f>C19*D19*E19*B3*0.000000001</f>
        <v>250.56635132197303</v>
      </c>
      <c r="G19" s="218">
        <v>1</v>
      </c>
      <c r="H19" s="212">
        <f>F19*G19</f>
        <v>250.56635132197303</v>
      </c>
      <c r="I19" s="297">
        <v>2.95</v>
      </c>
      <c r="J19" s="212">
        <f>H19*I19</f>
        <v>739.1707363998205</v>
      </c>
      <c r="K19" s="5"/>
      <c r="L19" s="5"/>
      <c r="M19" s="5">
        <f>SUM(H25:H37)</f>
        <v>34850.144722161931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2">
      <c r="A20" s="212"/>
      <c r="B20" s="218"/>
      <c r="C20" s="218" t="s">
        <v>544</v>
      </c>
      <c r="D20" s="218" t="s">
        <v>196</v>
      </c>
      <c r="E20" s="218" t="s">
        <v>526</v>
      </c>
      <c r="F20" s="218"/>
      <c r="G20" s="218">
        <v>1</v>
      </c>
      <c r="H20" s="212"/>
      <c r="I20" s="297">
        <v>2.95</v>
      </c>
      <c r="J20" s="21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25.5" customHeight="1" x14ac:dyDescent="0.2">
      <c r="A21" s="212" t="s">
        <v>545</v>
      </c>
      <c r="B21" s="218"/>
      <c r="C21" s="218">
        <v>2700</v>
      </c>
      <c r="D21" s="218">
        <f>'Main Dimensions Calcs'!D53+'Main Dimensions Calcs'!E86*2*1000</f>
        <v>22400</v>
      </c>
      <c r="E21" s="218">
        <v>0.1</v>
      </c>
      <c r="F21" s="218">
        <f>E21*D21^2*PI()/4*C21*0.000000001</f>
        <v>106.40197326590199</v>
      </c>
      <c r="G21" s="218">
        <v>1</v>
      </c>
      <c r="H21" s="212">
        <f>F21*G21</f>
        <v>106.40197326590199</v>
      </c>
      <c r="I21" s="297">
        <v>2.95</v>
      </c>
      <c r="J21" s="212">
        <f>H21*I21</f>
        <v>313.88582113441089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x14ac:dyDescent="0.2">
      <c r="A22" s="212"/>
      <c r="B22" s="218"/>
      <c r="C22" s="218"/>
      <c r="D22" s="218"/>
      <c r="E22" s="218"/>
      <c r="F22" s="218"/>
      <c r="G22" s="218">
        <v>1</v>
      </c>
      <c r="H22" s="212"/>
      <c r="I22" s="297"/>
      <c r="J22" s="21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x14ac:dyDescent="0.2">
      <c r="A23" s="5"/>
      <c r="B23" s="299"/>
      <c r="C23" s="299"/>
      <c r="D23" s="299"/>
      <c r="E23" s="299"/>
      <c r="F23" s="299"/>
      <c r="G23" s="218">
        <v>1</v>
      </c>
      <c r="H23" s="212"/>
      <c r="I23" s="297"/>
      <c r="J23" s="21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5.75" customHeight="1" x14ac:dyDescent="0.25">
      <c r="A24" s="296" t="s">
        <v>546</v>
      </c>
      <c r="B24" s="299"/>
      <c r="C24" s="299" t="s">
        <v>547</v>
      </c>
      <c r="D24" s="299" t="s">
        <v>548</v>
      </c>
      <c r="E24" s="299" t="str">
        <f>'Main Dimensions Calcs'!H6</f>
        <v>mm</v>
      </c>
      <c r="F24" s="299"/>
      <c r="G24" s="218">
        <v>1</v>
      </c>
      <c r="H24" s="212"/>
      <c r="I24" s="297"/>
      <c r="J24" s="212"/>
      <c r="K24" s="5" t="s">
        <v>549</v>
      </c>
      <c r="L24" s="5" t="s">
        <v>550</v>
      </c>
      <c r="M24" s="263" t="str">
        <f t="shared" ref="M24:M35" si="0">D24</f>
        <v>Altura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x14ac:dyDescent="0.2">
      <c r="A25" s="122" t="s">
        <v>551</v>
      </c>
      <c r="B25" s="299"/>
      <c r="C25" s="299">
        <f>('Main Dimensions Calcs'!$D$53+E25)*PI()</f>
        <v>64741.941405178455</v>
      </c>
      <c r="D25" s="299">
        <f>'Main Dimensions Calcs'!I7</f>
        <v>2000</v>
      </c>
      <c r="E25" s="299">
        <f>'Main Dimensions Calcs'!H7</f>
        <v>8</v>
      </c>
      <c r="F25" s="299">
        <f t="shared" ref="F25:F35" si="1">C25*D25*E25*0.000000001*$B$3</f>
        <v>8286.9684998628418</v>
      </c>
      <c r="G25" s="218">
        <v>1</v>
      </c>
      <c r="H25" s="212">
        <f t="shared" ref="H25:H35" si="2">F25*G25</f>
        <v>8286.9684998628418</v>
      </c>
      <c r="I25" s="297">
        <v>2.95</v>
      </c>
      <c r="J25" s="212">
        <f t="shared" ref="J25:J35" si="3">H25*I25</f>
        <v>24446.557074595385</v>
      </c>
      <c r="K25" s="5">
        <v>7</v>
      </c>
      <c r="L25" s="263">
        <f t="shared" ref="L25:L35" si="4">C25/K25</f>
        <v>9248.8487721683505</v>
      </c>
      <c r="M25" s="263">
        <f t="shared" si="0"/>
        <v>2000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x14ac:dyDescent="0.2">
      <c r="A26" s="122" t="s">
        <v>552</v>
      </c>
      <c r="B26" s="299"/>
      <c r="C26" s="299">
        <f>('Main Dimensions Calcs'!$D$53+E26)*PI()</f>
        <v>64741.941405178455</v>
      </c>
      <c r="D26" s="299">
        <f>'Main Dimensions Calcs'!I8</f>
        <v>2000</v>
      </c>
      <c r="E26" s="299">
        <f>'Main Dimensions Calcs'!H8</f>
        <v>8</v>
      </c>
      <c r="F26" s="299">
        <f t="shared" si="1"/>
        <v>8286.9684998628418</v>
      </c>
      <c r="G26" s="218">
        <v>1</v>
      </c>
      <c r="H26" s="212">
        <f t="shared" si="2"/>
        <v>8286.9684998628418</v>
      </c>
      <c r="I26" s="297">
        <v>2.95</v>
      </c>
      <c r="J26" s="212">
        <f t="shared" si="3"/>
        <v>24446.557074595385</v>
      </c>
      <c r="K26" s="5">
        <v>7</v>
      </c>
      <c r="L26" s="263">
        <f t="shared" si="4"/>
        <v>9248.8487721683505</v>
      </c>
      <c r="M26" s="263">
        <f t="shared" si="0"/>
        <v>2000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2">
      <c r="A27" s="122" t="s">
        <v>553</v>
      </c>
      <c r="B27" s="299"/>
      <c r="C27" s="299">
        <f>('Main Dimensions Calcs'!$D$53+E27)*PI()</f>
        <v>64741.941405178455</v>
      </c>
      <c r="D27" s="299">
        <f>'Main Dimensions Calcs'!I9</f>
        <v>2000</v>
      </c>
      <c r="E27" s="299">
        <f>'Main Dimensions Calcs'!H9</f>
        <v>8</v>
      </c>
      <c r="F27" s="299">
        <f t="shared" si="1"/>
        <v>8286.9684998628418</v>
      </c>
      <c r="G27" s="218">
        <v>1</v>
      </c>
      <c r="H27" s="212">
        <f t="shared" si="2"/>
        <v>8286.9684998628418</v>
      </c>
      <c r="I27" s="297">
        <v>2.95</v>
      </c>
      <c r="J27" s="212">
        <f t="shared" si="3"/>
        <v>24446.557074595385</v>
      </c>
      <c r="K27" s="5">
        <v>7</v>
      </c>
      <c r="L27" s="263">
        <f t="shared" si="4"/>
        <v>9248.8487721683505</v>
      </c>
      <c r="M27" s="263">
        <f t="shared" si="0"/>
        <v>2000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2">
      <c r="A28" s="122" t="s">
        <v>554</v>
      </c>
      <c r="B28" s="299"/>
      <c r="C28" s="299">
        <f>('Main Dimensions Calcs'!$D$53+E28)*PI()</f>
        <v>64741.941405178455</v>
      </c>
      <c r="D28" s="299">
        <f>'Main Dimensions Calcs'!I10</f>
        <v>1500</v>
      </c>
      <c r="E28" s="299">
        <f>'Main Dimensions Calcs'!H10</f>
        <v>8</v>
      </c>
      <c r="F28" s="299">
        <f t="shared" si="1"/>
        <v>6215.2263748971327</v>
      </c>
      <c r="G28" s="218">
        <v>1</v>
      </c>
      <c r="H28" s="212">
        <f t="shared" si="2"/>
        <v>6215.2263748971327</v>
      </c>
      <c r="I28" s="297">
        <v>2.95</v>
      </c>
      <c r="J28" s="212">
        <f t="shared" si="3"/>
        <v>18334.917805946541</v>
      </c>
      <c r="K28" s="5">
        <v>7</v>
      </c>
      <c r="L28" s="263">
        <f t="shared" si="4"/>
        <v>9248.8487721683505</v>
      </c>
      <c r="M28" s="263">
        <f t="shared" si="0"/>
        <v>1500</v>
      </c>
      <c r="N28" s="5"/>
      <c r="O28" s="263">
        <f>SUM(F25:F37)</f>
        <v>34850.144722161931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">
      <c r="A29" s="122" t="s">
        <v>555</v>
      </c>
      <c r="B29" s="299"/>
      <c r="C29" s="299">
        <f>('Main Dimensions Calcs'!$D$53+E29)*PI()</f>
        <v>64716.808663949741</v>
      </c>
      <c r="D29" s="299">
        <f>'Main Dimensions Calcs'!I11</f>
        <v>0</v>
      </c>
      <c r="E29" s="299">
        <f>'Main Dimensions Calcs'!H11</f>
        <v>0</v>
      </c>
      <c r="F29" s="299">
        <f t="shared" si="1"/>
        <v>0</v>
      </c>
      <c r="G29" s="218">
        <v>1</v>
      </c>
      <c r="H29" s="212">
        <f t="shared" si="2"/>
        <v>0</v>
      </c>
      <c r="I29" s="297">
        <v>2.95</v>
      </c>
      <c r="J29" s="212">
        <f t="shared" si="3"/>
        <v>0</v>
      </c>
      <c r="K29" s="5">
        <v>7</v>
      </c>
      <c r="L29" s="263">
        <f t="shared" si="4"/>
        <v>9245.258380564248</v>
      </c>
      <c r="M29" s="263">
        <f t="shared" si="0"/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2">
      <c r="A30" s="122" t="s">
        <v>556</v>
      </c>
      <c r="B30" s="299"/>
      <c r="C30" s="299">
        <f>('Main Dimensions Calcs'!$D$53+E30)*PI()</f>
        <v>64716.808663949741</v>
      </c>
      <c r="D30" s="299">
        <f>'Main Dimensions Calcs'!I12</f>
        <v>0</v>
      </c>
      <c r="E30" s="299">
        <f>'Main Dimensions Calcs'!H12</f>
        <v>0</v>
      </c>
      <c r="F30" s="299">
        <f t="shared" si="1"/>
        <v>0</v>
      </c>
      <c r="G30" s="218">
        <v>1</v>
      </c>
      <c r="H30" s="212">
        <f t="shared" si="2"/>
        <v>0</v>
      </c>
      <c r="I30" s="297">
        <v>2.95</v>
      </c>
      <c r="J30" s="212">
        <f t="shared" si="3"/>
        <v>0</v>
      </c>
      <c r="K30" s="5">
        <v>7</v>
      </c>
      <c r="L30" s="263">
        <f t="shared" si="4"/>
        <v>9245.258380564248</v>
      </c>
      <c r="M30" s="263">
        <f t="shared" si="0"/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x14ac:dyDescent="0.2">
      <c r="A31" s="122" t="s">
        <v>557</v>
      </c>
      <c r="B31" s="299"/>
      <c r="C31" s="299">
        <f>('Main Dimensions Calcs'!$D$53+E31)*PI()</f>
        <v>64716.808663949741</v>
      </c>
      <c r="D31" s="299">
        <f>'Main Dimensions Calcs'!I13</f>
        <v>0</v>
      </c>
      <c r="E31" s="299">
        <f>'Main Dimensions Calcs'!H13</f>
        <v>0</v>
      </c>
      <c r="F31" s="299">
        <f t="shared" si="1"/>
        <v>0</v>
      </c>
      <c r="G31" s="218">
        <v>1</v>
      </c>
      <c r="H31" s="212">
        <f t="shared" si="2"/>
        <v>0</v>
      </c>
      <c r="I31" s="297">
        <v>2.95</v>
      </c>
      <c r="J31" s="212">
        <f t="shared" si="3"/>
        <v>0</v>
      </c>
      <c r="K31" s="5">
        <v>7</v>
      </c>
      <c r="L31" s="263">
        <f t="shared" si="4"/>
        <v>9245.258380564248</v>
      </c>
      <c r="M31" s="263">
        <f t="shared" si="0"/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2">
      <c r="A32" s="122" t="s">
        <v>558</v>
      </c>
      <c r="B32" s="299"/>
      <c r="C32" s="299">
        <f>('Main Dimensions Calcs'!$D$53+E32)*PI()</f>
        <v>64716.808663949741</v>
      </c>
      <c r="D32" s="299">
        <f>'Main Dimensions Calcs'!J16</f>
        <v>0</v>
      </c>
      <c r="E32" s="299">
        <f>'Main Dimensions Calcs'!H14</f>
        <v>0</v>
      </c>
      <c r="F32" s="299">
        <f t="shared" si="1"/>
        <v>0</v>
      </c>
      <c r="G32" s="218">
        <v>1</v>
      </c>
      <c r="H32" s="212">
        <f t="shared" si="2"/>
        <v>0</v>
      </c>
      <c r="I32" s="297">
        <v>2.95</v>
      </c>
      <c r="J32" s="212">
        <f t="shared" si="3"/>
        <v>0</v>
      </c>
      <c r="K32" s="5">
        <v>7</v>
      </c>
      <c r="L32" s="263">
        <f t="shared" si="4"/>
        <v>9245.258380564248</v>
      </c>
      <c r="M32" s="263">
        <f t="shared" si="0"/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2">
      <c r="A33" s="122" t="s">
        <v>559</v>
      </c>
      <c r="B33" s="299"/>
      <c r="C33" s="299">
        <f>('Main Dimensions Calcs'!$D$53+E33)*PI()</f>
        <v>64716.808663949741</v>
      </c>
      <c r="D33" s="299">
        <f>'Main Dimensions Calcs'!I15</f>
        <v>0</v>
      </c>
      <c r="E33" s="299">
        <f>'Main Dimensions Calcs'!H15</f>
        <v>0</v>
      </c>
      <c r="F33" s="299">
        <f t="shared" si="1"/>
        <v>0</v>
      </c>
      <c r="G33" s="218">
        <v>1</v>
      </c>
      <c r="H33" s="212">
        <f t="shared" si="2"/>
        <v>0</v>
      </c>
      <c r="I33" s="297">
        <v>2.95</v>
      </c>
      <c r="J33" s="212">
        <f t="shared" si="3"/>
        <v>0</v>
      </c>
      <c r="K33" s="5">
        <v>7</v>
      </c>
      <c r="L33" s="263">
        <f t="shared" si="4"/>
        <v>9245.258380564248</v>
      </c>
      <c r="M33" s="263">
        <f t="shared" si="0"/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2">
      <c r="A34" s="122" t="s">
        <v>560</v>
      </c>
      <c r="B34" s="299"/>
      <c r="C34" s="299">
        <f>('Main Dimensions Calcs'!$D$53+E34)*PI()</f>
        <v>64716.808663949741</v>
      </c>
      <c r="D34" s="299">
        <f>'Main Dimensions Calcs'!I16</f>
        <v>0</v>
      </c>
      <c r="E34" s="299">
        <f>'Main Dimensions Calcs'!H16</f>
        <v>0</v>
      </c>
      <c r="F34" s="299">
        <f t="shared" si="1"/>
        <v>0</v>
      </c>
      <c r="G34" s="218">
        <v>1</v>
      </c>
      <c r="H34" s="212">
        <f t="shared" si="2"/>
        <v>0</v>
      </c>
      <c r="I34" s="297">
        <v>2.95</v>
      </c>
      <c r="J34" s="212">
        <f t="shared" si="3"/>
        <v>0</v>
      </c>
      <c r="K34" s="5">
        <v>7</v>
      </c>
      <c r="L34" s="263">
        <f t="shared" si="4"/>
        <v>9245.258380564248</v>
      </c>
      <c r="M34" s="263">
        <f t="shared" si="0"/>
        <v>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2">
      <c r="A35" s="122" t="s">
        <v>561</v>
      </c>
      <c r="B35" s="299"/>
      <c r="C35" s="299">
        <f>('Main Dimensions Calcs'!$D$53+E35)*PI()</f>
        <v>64716.808663949741</v>
      </c>
      <c r="D35" s="299">
        <f>'Main Dimensions Calcs'!I17</f>
        <v>0</v>
      </c>
      <c r="E35" s="299">
        <f>'Main Dimensions Calcs'!H17</f>
        <v>0</v>
      </c>
      <c r="F35" s="299">
        <f t="shared" si="1"/>
        <v>0</v>
      </c>
      <c r="G35" s="218">
        <v>1</v>
      </c>
      <c r="H35" s="212">
        <f t="shared" si="2"/>
        <v>0</v>
      </c>
      <c r="I35" s="297">
        <v>2.95</v>
      </c>
      <c r="J35" s="212">
        <f t="shared" si="3"/>
        <v>0</v>
      </c>
      <c r="K35" s="5">
        <v>7</v>
      </c>
      <c r="L35" s="263">
        <f t="shared" si="4"/>
        <v>9245.258380564248</v>
      </c>
      <c r="M35" s="263">
        <f t="shared" si="0"/>
        <v>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2">
      <c r="A36" s="295" t="s">
        <v>562</v>
      </c>
      <c r="B36" s="299" t="s">
        <v>460</v>
      </c>
      <c r="C36" s="299" t="s">
        <v>526</v>
      </c>
      <c r="D36" s="299" t="s">
        <v>541</v>
      </c>
      <c r="E36" s="299" t="s">
        <v>196</v>
      </c>
      <c r="F36" s="299"/>
      <c r="G36" s="218">
        <v>1</v>
      </c>
      <c r="H36" s="212"/>
      <c r="I36" s="297"/>
      <c r="J36" s="21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2">
      <c r="A37" s="212" t="s">
        <v>563</v>
      </c>
      <c r="B37" s="299">
        <f>'Main Dimensions Calcs'!D68</f>
        <v>6</v>
      </c>
      <c r="C37" s="299">
        <f>'Main Dimensions Calcs'!D73</f>
        <v>10</v>
      </c>
      <c r="D37" s="299">
        <f>'Main Dimensions Calcs'!D72</f>
        <v>120</v>
      </c>
      <c r="E37" s="299">
        <f>('Main Dimensions Calcs'!D69-C38*2)*PI()</f>
        <v>65521.056383268726</v>
      </c>
      <c r="F37" s="299">
        <f>C37*D37*E37*0.000000001*B3*B37</f>
        <v>3774.0128476762784</v>
      </c>
      <c r="G37" s="218">
        <v>1</v>
      </c>
      <c r="H37" s="212">
        <f>F37*G37</f>
        <v>3774.0128476762784</v>
      </c>
      <c r="I37" s="297">
        <v>2.95</v>
      </c>
      <c r="J37" s="212">
        <f>H37*I37</f>
        <v>11133.337900645021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x14ac:dyDescent="0.2">
      <c r="A38" s="212" t="s">
        <v>564</v>
      </c>
      <c r="B38" s="299">
        <f>'Main Dimensions Calcs'!D68</f>
        <v>6</v>
      </c>
      <c r="C38" s="299">
        <f>'Main Dimensions Calcs'!D71</f>
        <v>0</v>
      </c>
      <c r="D38" s="299">
        <f>'Main Dimensions Calcs'!D70</f>
        <v>0</v>
      </c>
      <c r="E38" s="299">
        <f>('Main Dimensions Calcs'!D69-C38)*PI()</f>
        <v>65521.056383268726</v>
      </c>
      <c r="F38" s="299">
        <f>C38*D38*E38*0.000000001*B3*B38</f>
        <v>0</v>
      </c>
      <c r="G38" s="218">
        <v>1</v>
      </c>
      <c r="H38" s="212">
        <f>F38*G38</f>
        <v>0</v>
      </c>
      <c r="I38" s="297">
        <v>2.95</v>
      </c>
      <c r="J38" s="212">
        <f>H38*I38</f>
        <v>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5.75" customHeight="1" x14ac:dyDescent="0.25">
      <c r="A39" s="296" t="s">
        <v>565</v>
      </c>
      <c r="B39" s="299"/>
      <c r="C39" s="299"/>
      <c r="D39" s="299"/>
      <c r="E39" s="299"/>
      <c r="F39" s="299"/>
      <c r="G39" s="218">
        <v>1</v>
      </c>
      <c r="H39" s="212"/>
      <c r="I39" s="297"/>
      <c r="J39" s="21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2">
      <c r="A40" s="212"/>
      <c r="B40" s="299" t="s">
        <v>460</v>
      </c>
      <c r="C40" s="299" t="s">
        <v>526</v>
      </c>
      <c r="D40" s="299" t="s">
        <v>541</v>
      </c>
      <c r="E40" s="299" t="s">
        <v>196</v>
      </c>
      <c r="F40" s="299"/>
      <c r="G40" s="218">
        <v>1</v>
      </c>
      <c r="H40" s="212"/>
      <c r="I40" s="297"/>
      <c r="J40" s="212"/>
      <c r="K40" s="5" t="s">
        <v>527</v>
      </c>
      <c r="L40" s="5" t="s">
        <v>528</v>
      </c>
      <c r="M40" s="5" t="s">
        <v>529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25.5" customHeight="1" x14ac:dyDescent="0.2">
      <c r="A41" s="212" t="s">
        <v>566</v>
      </c>
      <c r="B41" s="299">
        <v>1</v>
      </c>
      <c r="C41" s="299">
        <f>'Main Dimensions Calcs'!L42</f>
        <v>25</v>
      </c>
      <c r="D41" s="299">
        <f>'Main Dimensions Calcs'!D53+2*'Main Dimensions Calcs'!L45</f>
        <v>20880</v>
      </c>
      <c r="E41" s="299">
        <f>'Main Dimensions Calcs'!D53-'Main Dimensions Calcs'!L43*2</f>
        <v>19840</v>
      </c>
      <c r="F41" s="300">
        <f>C41*(D41^2-E41^2)*0.000000001*$B$3*PI()/4</f>
        <v>6652.1339484171713</v>
      </c>
      <c r="G41" s="218">
        <v>1</v>
      </c>
      <c r="H41" s="212">
        <f>F41*G41</f>
        <v>6652.1339484171713</v>
      </c>
      <c r="I41" s="297">
        <v>2.95</v>
      </c>
      <c r="J41" s="212">
        <f>H41*I41</f>
        <v>19623.795147830657</v>
      </c>
      <c r="K41" s="5">
        <f>F41/C41/8</f>
        <v>33.260669742085859</v>
      </c>
      <c r="L41" s="5">
        <f>K41*1.2</f>
        <v>39.912803690503033</v>
      </c>
      <c r="M41" s="5">
        <f>L41/2</f>
        <v>19.956401845251516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2">
      <c r="A42" s="212"/>
      <c r="B42" s="299"/>
      <c r="C42" s="299" t="s">
        <v>526</v>
      </c>
      <c r="D42" s="299" t="s">
        <v>567</v>
      </c>
      <c r="E42" s="299"/>
      <c r="F42" s="299"/>
      <c r="G42" s="218">
        <v>1</v>
      </c>
      <c r="H42" s="212"/>
      <c r="I42" s="297"/>
      <c r="J42" s="212"/>
      <c r="K42" s="5" t="s">
        <v>473</v>
      </c>
      <c r="L42" s="5" t="s">
        <v>568</v>
      </c>
      <c r="M42" s="5" t="s">
        <v>569</v>
      </c>
      <c r="N42" s="5" t="s">
        <v>570</v>
      </c>
      <c r="O42" s="5" t="s">
        <v>571</v>
      </c>
      <c r="P42" s="5" t="s">
        <v>572</v>
      </c>
      <c r="Q42" s="5" t="s">
        <v>573</v>
      </c>
      <c r="R42" s="5" t="s">
        <v>574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2">
      <c r="A43" s="212" t="s">
        <v>565</v>
      </c>
      <c r="B43" s="299"/>
      <c r="C43" s="299">
        <f>'Main Dimensions Calcs'!D55</f>
        <v>10</v>
      </c>
      <c r="D43" s="301">
        <f>'Main Dimensions Calcs'!D58</f>
        <v>366234623.75190574</v>
      </c>
      <c r="E43" s="299"/>
      <c r="F43" s="299">
        <f>D43*C43*0.000000001*B3</f>
        <v>29298.76990015246</v>
      </c>
      <c r="G43" s="218">
        <v>1</v>
      </c>
      <c r="H43" s="212">
        <f>F43*G43</f>
        <v>29298.76990015246</v>
      </c>
      <c r="I43" s="297">
        <v>2.95</v>
      </c>
      <c r="J43" s="212">
        <f>H43*I43</f>
        <v>86431.371205449759</v>
      </c>
      <c r="K43" s="5" t="e">
        <f>ASIN('Main Dimensions Calcs'!D53*0.5/X54)</f>
        <v>#NUM!</v>
      </c>
      <c r="L43" s="5" t="e">
        <f>K43*'Main Dimensions Calcs'!D54</f>
        <v>#NUM!</v>
      </c>
      <c r="M43" s="263" t="e">
        <f>L43-'Main Dimensions Calcs'!L44-1925+100</f>
        <v>#NUM!</v>
      </c>
      <c r="N43" s="5">
        <f>('Main Dimensions Calcs'!D53-'Inner Tank Compression Ring 1'!L19*COS('Inner Tank Compression Ring 1'!K32*PI()/180)*2)*PI()</f>
        <v>63853.917881763737</v>
      </c>
      <c r="O43" s="5">
        <v>20</v>
      </c>
      <c r="P43" s="5">
        <f>N43/O43</f>
        <v>3192.6958940881868</v>
      </c>
      <c r="Q43" s="5">
        <f>P43+40</f>
        <v>3232.6958940881868</v>
      </c>
      <c r="R43" s="5">
        <f>'Main Dimensions Calcs'!D53-'Inner Tank Compression Ring 1'!L19*COS('Inner Tank Compression Ring 1'!K32*PI()/180)*2+100</f>
        <v>20425.333333333332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2">
      <c r="A44" s="212"/>
      <c r="B44" s="299" t="s">
        <v>460</v>
      </c>
      <c r="C44" s="218" t="s">
        <v>515</v>
      </c>
      <c r="D44" s="218"/>
      <c r="E44" s="218"/>
      <c r="F44" s="218"/>
      <c r="G44" s="218">
        <v>1</v>
      </c>
      <c r="H44" s="212"/>
      <c r="I44" s="297"/>
      <c r="J44" s="21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2">
      <c r="A45" s="212" t="s">
        <v>575</v>
      </c>
      <c r="B45" s="299">
        <v>11</v>
      </c>
      <c r="C45" s="299">
        <v>3</v>
      </c>
      <c r="D45" s="299"/>
      <c r="E45" s="299"/>
      <c r="F45" s="299">
        <f>B45*C45</f>
        <v>33</v>
      </c>
      <c r="G45" s="218">
        <v>1</v>
      </c>
      <c r="H45" s="212">
        <f>F45*G45</f>
        <v>33</v>
      </c>
      <c r="I45" s="297">
        <v>2.95</v>
      </c>
      <c r="J45" s="212">
        <f>H45*I45</f>
        <v>97.350000000000009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>
        <f>360/W51</f>
        <v>18</v>
      </c>
      <c r="AC45" s="5"/>
    </row>
    <row r="46" spans="1:29" x14ac:dyDescent="0.2">
      <c r="A46" s="212" t="s">
        <v>576</v>
      </c>
      <c r="B46" s="299"/>
      <c r="C46" s="299"/>
      <c r="D46" s="299"/>
      <c r="E46" s="299"/>
      <c r="F46" s="299" t="s">
        <v>577</v>
      </c>
      <c r="G46" s="218">
        <v>1</v>
      </c>
      <c r="H46" s="212">
        <f>8*'Main Dimensions Calcs'!D56*PI()*4^2/4</f>
        <v>1206.3715789784806</v>
      </c>
      <c r="I46" s="297"/>
      <c r="J46" s="21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 t="s">
        <v>578</v>
      </c>
      <c r="X46" s="5"/>
      <c r="Y46" s="5"/>
      <c r="Z46" s="5"/>
      <c r="AA46" s="5"/>
      <c r="AB46" s="5"/>
      <c r="AC46" s="5"/>
    </row>
    <row r="47" spans="1:29" x14ac:dyDescent="0.2">
      <c r="A47" s="212"/>
      <c r="B47" s="299"/>
      <c r="C47" s="299"/>
      <c r="D47" s="299"/>
      <c r="E47" s="299"/>
      <c r="F47" s="299"/>
      <c r="G47" s="218">
        <v>1</v>
      </c>
      <c r="H47" s="212"/>
      <c r="I47" s="297"/>
      <c r="J47" s="21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31.5" customHeight="1" x14ac:dyDescent="0.25">
      <c r="A48" s="296" t="s">
        <v>579</v>
      </c>
      <c r="B48" s="212" t="s">
        <v>460</v>
      </c>
      <c r="C48" s="299" t="s">
        <v>580</v>
      </c>
      <c r="D48" s="299" t="s">
        <v>581</v>
      </c>
      <c r="E48" s="299" t="s">
        <v>582</v>
      </c>
      <c r="F48" s="299"/>
      <c r="G48" s="218">
        <v>1</v>
      </c>
      <c r="H48" s="212"/>
      <c r="I48" s="297"/>
      <c r="J48" s="21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 t="s">
        <v>583</v>
      </c>
      <c r="X48" s="5" t="s">
        <v>584</v>
      </c>
      <c r="Y48" s="5" t="s">
        <v>585</v>
      </c>
      <c r="Z48" s="5" t="s">
        <v>586</v>
      </c>
      <c r="AA48" s="5" t="s">
        <v>460</v>
      </c>
      <c r="AB48" s="5"/>
      <c r="AC48" s="5"/>
    </row>
    <row r="49" spans="1:29" ht="25.5" customHeight="1" x14ac:dyDescent="0.2">
      <c r="A49" s="212" t="s">
        <v>587</v>
      </c>
      <c r="B49" s="299">
        <v>1</v>
      </c>
      <c r="C49" s="299">
        <v>25</v>
      </c>
      <c r="D49" s="302">
        <v>2.08</v>
      </c>
      <c r="E49" s="299">
        <v>26</v>
      </c>
      <c r="F49" s="302">
        <f t="shared" ref="F49:F62" si="5">B49*D49*E49</f>
        <v>54.08</v>
      </c>
      <c r="G49" s="218">
        <v>1</v>
      </c>
      <c r="H49" s="212">
        <f t="shared" ref="H49:H62" si="6">F49*G49</f>
        <v>54.08</v>
      </c>
      <c r="I49" s="297">
        <v>12</v>
      </c>
      <c r="J49" s="212">
        <f t="shared" ref="J49:J62" si="7">H49*I49</f>
        <v>648.96</v>
      </c>
      <c r="K49" s="5"/>
      <c r="L49" s="26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40</v>
      </c>
      <c r="X49" s="5">
        <f>'Main Dimensions Calcs'!$D$53-('Main Dimensions Calcs'!L44*2+100)*COS('Inner Tank Compression Ring 1'!K32*PI()/180)</f>
        <v>20268.111111111109</v>
      </c>
      <c r="Y49" s="5">
        <f>PI()*X49</f>
        <v>63674.148968808324</v>
      </c>
      <c r="Z49" s="5">
        <v>2000</v>
      </c>
      <c r="AA49" s="5">
        <f>Y49/(Z49-W49)</f>
        <v>32.486810698371592</v>
      </c>
      <c r="AB49" s="5"/>
      <c r="AC49" s="5"/>
    </row>
    <row r="50" spans="1:29" ht="25.5" customHeight="1" x14ac:dyDescent="0.2">
      <c r="A50" s="212" t="s">
        <v>588</v>
      </c>
      <c r="B50" s="299">
        <v>1</v>
      </c>
      <c r="C50" s="299">
        <v>25</v>
      </c>
      <c r="D50" s="302">
        <v>2.08</v>
      </c>
      <c r="E50" s="299">
        <v>26</v>
      </c>
      <c r="F50" s="302">
        <f t="shared" si="5"/>
        <v>54.08</v>
      </c>
      <c r="G50" s="218">
        <v>1</v>
      </c>
      <c r="H50" s="212">
        <f t="shared" si="6"/>
        <v>54.08</v>
      </c>
      <c r="I50" s="297">
        <v>12</v>
      </c>
      <c r="J50" s="212">
        <f t="shared" si="7"/>
        <v>648.96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 t="s">
        <v>589</v>
      </c>
      <c r="Y50" s="5" t="s">
        <v>590</v>
      </c>
      <c r="Z50" s="5" t="s">
        <v>591</v>
      </c>
      <c r="AA50" s="5" t="s">
        <v>592</v>
      </c>
      <c r="AB50" s="5" t="s">
        <v>593</v>
      </c>
      <c r="AC50" s="5" t="s">
        <v>594</v>
      </c>
    </row>
    <row r="51" spans="1:29" x14ac:dyDescent="0.2">
      <c r="A51" s="212" t="s">
        <v>595</v>
      </c>
      <c r="B51" s="299">
        <v>1</v>
      </c>
      <c r="C51" s="299">
        <v>50</v>
      </c>
      <c r="D51" s="302">
        <v>5.44</v>
      </c>
      <c r="E51" s="299">
        <v>26</v>
      </c>
      <c r="F51" s="302">
        <f t="shared" si="5"/>
        <v>141.44</v>
      </c>
      <c r="G51" s="218">
        <v>1</v>
      </c>
      <c r="H51" s="212">
        <f t="shared" si="6"/>
        <v>141.44</v>
      </c>
      <c r="I51" s="297">
        <v>12</v>
      </c>
      <c r="J51" s="212">
        <f t="shared" si="7"/>
        <v>1697.28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>
        <v>20</v>
      </c>
      <c r="X51" s="5">
        <f>Y49/W51+W49</f>
        <v>3223.7074484404161</v>
      </c>
      <c r="Y51" s="5" t="e">
        <f>ASIN(X49*0.5/X54)</f>
        <v>#NUM!</v>
      </c>
      <c r="Z51" s="5" t="e">
        <f>X54*Y51-2000</f>
        <v>#NUM!</v>
      </c>
      <c r="AA51" s="5">
        <f>2000/X54</f>
        <v>0.21739130434782608</v>
      </c>
      <c r="AB51" s="5">
        <f>SIN(AA51)*X54</f>
        <v>1984.2841885929738</v>
      </c>
      <c r="AC51" s="5">
        <f>AB51*PI()/W51+40</f>
        <v>351.6906314759035</v>
      </c>
    </row>
    <row r="52" spans="1:29" x14ac:dyDescent="0.2">
      <c r="A52" s="212" t="s">
        <v>596</v>
      </c>
      <c r="B52" s="299">
        <v>1</v>
      </c>
      <c r="C52" s="299">
        <v>150</v>
      </c>
      <c r="D52" s="302">
        <v>13.82</v>
      </c>
      <c r="E52" s="299">
        <v>3</v>
      </c>
      <c r="F52" s="302">
        <f t="shared" si="5"/>
        <v>41.46</v>
      </c>
      <c r="G52" s="218">
        <v>1</v>
      </c>
      <c r="H52" s="212">
        <f t="shared" si="6"/>
        <v>41.46</v>
      </c>
      <c r="I52" s="297">
        <v>12</v>
      </c>
      <c r="J52" s="212">
        <f t="shared" si="7"/>
        <v>497.52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2">
      <c r="A53" s="212" t="s">
        <v>597</v>
      </c>
      <c r="B53" s="299">
        <v>1</v>
      </c>
      <c r="C53" s="299">
        <v>50</v>
      </c>
      <c r="D53" s="302">
        <v>3.93</v>
      </c>
      <c r="E53" s="299">
        <v>15</v>
      </c>
      <c r="F53" s="302">
        <f t="shared" si="5"/>
        <v>58.95</v>
      </c>
      <c r="G53" s="218">
        <v>1</v>
      </c>
      <c r="H53" s="212">
        <f t="shared" si="6"/>
        <v>58.95</v>
      </c>
      <c r="I53" s="297">
        <v>12</v>
      </c>
      <c r="J53" s="212">
        <f t="shared" si="7"/>
        <v>707.40000000000009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 t="s">
        <v>598</v>
      </c>
      <c r="X53" s="5"/>
      <c r="Y53" s="5"/>
      <c r="Z53" s="5"/>
      <c r="AA53" s="5"/>
      <c r="AB53" s="5"/>
      <c r="AC53" s="5"/>
    </row>
    <row r="54" spans="1:29" x14ac:dyDescent="0.2">
      <c r="A54" s="212" t="s">
        <v>599</v>
      </c>
      <c r="B54" s="299">
        <v>0</v>
      </c>
      <c r="C54" s="299">
        <v>25</v>
      </c>
      <c r="D54" s="302">
        <v>2.08</v>
      </c>
      <c r="E54" s="299">
        <v>26</v>
      </c>
      <c r="F54" s="302">
        <f t="shared" si="5"/>
        <v>0</v>
      </c>
      <c r="G54" s="218">
        <v>1</v>
      </c>
      <c r="H54" s="212">
        <f t="shared" si="6"/>
        <v>0</v>
      </c>
      <c r="I54" s="297">
        <v>12</v>
      </c>
      <c r="J54" s="212">
        <f t="shared" si="7"/>
        <v>0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>
        <v>9200</v>
      </c>
      <c r="Y54" s="5"/>
      <c r="Z54" s="5"/>
      <c r="AA54" s="5"/>
      <c r="AB54" s="5"/>
      <c r="AC54" s="5"/>
    </row>
    <row r="55" spans="1:29" x14ac:dyDescent="0.2">
      <c r="A55" s="212" t="s">
        <v>600</v>
      </c>
      <c r="B55" s="299">
        <v>1</v>
      </c>
      <c r="C55" s="299">
        <v>750</v>
      </c>
      <c r="D55" s="302">
        <v>164.8</v>
      </c>
      <c r="E55" s="299">
        <v>3</v>
      </c>
      <c r="F55" s="302">
        <f t="shared" si="5"/>
        <v>494.40000000000003</v>
      </c>
      <c r="G55" s="218">
        <v>1</v>
      </c>
      <c r="H55" s="212">
        <f t="shared" si="6"/>
        <v>494.40000000000003</v>
      </c>
      <c r="I55" s="297">
        <v>12</v>
      </c>
      <c r="J55" s="212">
        <f t="shared" si="7"/>
        <v>5932.8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">
      <c r="A56" s="212" t="s">
        <v>601</v>
      </c>
      <c r="B56" s="299">
        <v>1</v>
      </c>
      <c r="C56" s="299">
        <v>25</v>
      </c>
      <c r="D56" s="302">
        <v>2.08</v>
      </c>
      <c r="E56" s="299">
        <v>26</v>
      </c>
      <c r="F56" s="302">
        <f t="shared" si="5"/>
        <v>54.08</v>
      </c>
      <c r="G56" s="218">
        <v>1</v>
      </c>
      <c r="H56" s="212">
        <f t="shared" si="6"/>
        <v>54.08</v>
      </c>
      <c r="I56" s="297">
        <v>12</v>
      </c>
      <c r="J56" s="212">
        <f t="shared" si="7"/>
        <v>648.96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25.5" customHeight="1" x14ac:dyDescent="0.2">
      <c r="A57" s="212" t="s">
        <v>602</v>
      </c>
      <c r="B57" s="299">
        <v>4</v>
      </c>
      <c r="C57" s="299">
        <v>150</v>
      </c>
      <c r="D57" s="302">
        <v>13.84</v>
      </c>
      <c r="E57" s="299">
        <v>15</v>
      </c>
      <c r="F57" s="302">
        <f t="shared" si="5"/>
        <v>830.4</v>
      </c>
      <c r="G57" s="218">
        <v>1</v>
      </c>
      <c r="H57" s="212">
        <f t="shared" si="6"/>
        <v>830.4</v>
      </c>
      <c r="I57" s="297">
        <v>12</v>
      </c>
      <c r="J57" s="212">
        <f t="shared" si="7"/>
        <v>9964.7999999999993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25.5" customHeight="1" x14ac:dyDescent="0.2">
      <c r="A58" s="212" t="s">
        <v>602</v>
      </c>
      <c r="B58" s="299">
        <v>3</v>
      </c>
      <c r="C58" s="299">
        <v>80</v>
      </c>
      <c r="D58" s="302">
        <v>11.29</v>
      </c>
      <c r="E58" s="299">
        <v>15</v>
      </c>
      <c r="F58" s="302">
        <f t="shared" si="5"/>
        <v>508.04999999999995</v>
      </c>
      <c r="G58" s="218">
        <v>1</v>
      </c>
      <c r="H58" s="212">
        <f t="shared" si="6"/>
        <v>508.04999999999995</v>
      </c>
      <c r="I58" s="297">
        <v>12</v>
      </c>
      <c r="J58" s="212">
        <f t="shared" si="7"/>
        <v>6096.5999999999995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25.5" customHeight="1" x14ac:dyDescent="0.2">
      <c r="A59" s="212" t="s">
        <v>602</v>
      </c>
      <c r="B59" s="299">
        <v>1</v>
      </c>
      <c r="C59" s="299">
        <v>50</v>
      </c>
      <c r="D59" s="302">
        <v>5.44</v>
      </c>
      <c r="E59" s="299">
        <v>15</v>
      </c>
      <c r="F59" s="302">
        <f t="shared" si="5"/>
        <v>81.600000000000009</v>
      </c>
      <c r="G59" s="218">
        <v>1</v>
      </c>
      <c r="H59" s="212">
        <f t="shared" si="6"/>
        <v>81.600000000000009</v>
      </c>
      <c r="I59" s="297">
        <v>12</v>
      </c>
      <c r="J59" s="212">
        <f t="shared" si="7"/>
        <v>979.2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 t="s">
        <v>603</v>
      </c>
      <c r="Y59" s="5"/>
      <c r="Z59" s="5"/>
      <c r="AA59" s="5"/>
      <c r="AB59" s="5"/>
      <c r="AC59" s="5"/>
    </row>
    <row r="60" spans="1:29" x14ac:dyDescent="0.2">
      <c r="A60" s="212" t="s">
        <v>604</v>
      </c>
      <c r="B60" s="299">
        <v>0</v>
      </c>
      <c r="C60" s="299">
        <v>80</v>
      </c>
      <c r="D60" s="302">
        <v>11.29</v>
      </c>
      <c r="E60" s="299">
        <v>15</v>
      </c>
      <c r="F60" s="302">
        <f t="shared" si="5"/>
        <v>0</v>
      </c>
      <c r="G60" s="218">
        <v>1</v>
      </c>
      <c r="H60" s="212">
        <f t="shared" si="6"/>
        <v>0</v>
      </c>
      <c r="I60" s="297">
        <v>12</v>
      </c>
      <c r="J60" s="212">
        <f t="shared" si="7"/>
        <v>0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2">
      <c r="A61" s="212" t="s">
        <v>605</v>
      </c>
      <c r="B61" s="299">
        <v>4</v>
      </c>
      <c r="C61" s="299">
        <v>80</v>
      </c>
      <c r="D61" s="302">
        <v>11.29</v>
      </c>
      <c r="E61" s="299">
        <v>26</v>
      </c>
      <c r="F61" s="302">
        <f t="shared" si="5"/>
        <v>1174.1599999999999</v>
      </c>
      <c r="G61" s="218">
        <v>1</v>
      </c>
      <c r="H61" s="212">
        <f t="shared" si="6"/>
        <v>1174.1599999999999</v>
      </c>
      <c r="I61" s="297">
        <v>12</v>
      </c>
      <c r="J61" s="212">
        <f t="shared" si="7"/>
        <v>14089.919999999998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25.5" customHeight="1" x14ac:dyDescent="0.2">
      <c r="A62" s="212" t="s">
        <v>606</v>
      </c>
      <c r="B62" s="299">
        <v>0</v>
      </c>
      <c r="C62" s="299">
        <v>25</v>
      </c>
      <c r="D62" s="302">
        <v>2.5</v>
      </c>
      <c r="E62" s="299">
        <v>20</v>
      </c>
      <c r="F62" s="299">
        <f t="shared" si="5"/>
        <v>0</v>
      </c>
      <c r="G62" s="218">
        <v>1</v>
      </c>
      <c r="H62" s="212">
        <f t="shared" si="6"/>
        <v>0</v>
      </c>
      <c r="I62" s="297">
        <v>12</v>
      </c>
      <c r="J62" s="212">
        <f t="shared" si="7"/>
        <v>0</v>
      </c>
      <c r="K62" s="5"/>
      <c r="L62" s="5"/>
      <c r="M62" s="5"/>
      <c r="N62" s="5"/>
      <c r="O62" s="5"/>
      <c r="P62" s="5"/>
      <c r="Q62" s="5"/>
      <c r="R62" s="5"/>
      <c r="S62" s="5"/>
      <c r="T62" s="5" t="e">
        <f>Y51*180/PI()</f>
        <v>#NUM!</v>
      </c>
      <c r="U62" s="5"/>
      <c r="V62" s="5"/>
      <c r="W62" s="5"/>
      <c r="X62" s="5"/>
      <c r="Y62" s="5"/>
      <c r="Z62" s="5"/>
      <c r="AA62" s="5"/>
      <c r="AB62" s="5"/>
      <c r="AC62" s="5"/>
    </row>
    <row r="63" spans="1:29" ht="18" customHeight="1" x14ac:dyDescent="0.25">
      <c r="A63" s="303" t="s">
        <v>607</v>
      </c>
      <c r="B63" s="299"/>
      <c r="C63" s="299"/>
      <c r="D63" s="299"/>
      <c r="E63" s="299"/>
      <c r="F63" s="299"/>
      <c r="G63" s="218">
        <v>1</v>
      </c>
      <c r="H63" s="212"/>
      <c r="I63" s="297"/>
      <c r="J63" s="21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25.5" customHeight="1" x14ac:dyDescent="0.2">
      <c r="A64" s="212" t="s">
        <v>608</v>
      </c>
      <c r="B64" s="299"/>
      <c r="C64" s="299"/>
      <c r="D64" s="299"/>
      <c r="E64" s="299"/>
      <c r="F64" s="299">
        <v>131</v>
      </c>
      <c r="G64" s="218">
        <v>1</v>
      </c>
      <c r="H64" s="212">
        <f>F64*G64</f>
        <v>131</v>
      </c>
      <c r="I64" s="297">
        <v>2.95</v>
      </c>
      <c r="J64" s="212">
        <f>H64*I64</f>
        <v>386.45000000000005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 t="e">
        <f>(AC51+X51)/2*Z51</f>
        <v>#NUM!</v>
      </c>
      <c r="X64" s="5" t="e">
        <f>W64*0.000000001*B3*C43</f>
        <v>#NUM!</v>
      </c>
      <c r="Y64" s="5"/>
      <c r="Z64" s="5"/>
      <c r="AA64" s="5"/>
      <c r="AB64" s="5"/>
      <c r="AC64" s="5"/>
    </row>
    <row r="65" spans="1:29" ht="25.5" customHeight="1" x14ac:dyDescent="0.2">
      <c r="A65" s="212" t="s">
        <v>609</v>
      </c>
      <c r="B65" s="299"/>
      <c r="C65" s="299"/>
      <c r="D65" s="299"/>
      <c r="E65" s="299"/>
      <c r="F65" s="299">
        <v>675</v>
      </c>
      <c r="G65" s="218">
        <v>1</v>
      </c>
      <c r="H65" s="212">
        <f>F65*G65</f>
        <v>675</v>
      </c>
      <c r="I65" s="297"/>
      <c r="J65" s="21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 t="e">
        <f>W64*W51</f>
        <v>#NUM!</v>
      </c>
      <c r="X65" s="5" t="e">
        <f>X64*W51</f>
        <v>#NUM!</v>
      </c>
      <c r="Y65" s="5"/>
      <c r="Z65" s="5"/>
      <c r="AA65" s="5"/>
      <c r="AB65" s="5"/>
      <c r="AC65" s="5"/>
    </row>
    <row r="66" spans="1:29" x14ac:dyDescent="0.2">
      <c r="A66" s="5"/>
      <c r="B66" s="218"/>
      <c r="C66" s="218"/>
      <c r="D66" s="218"/>
      <c r="E66" s="218"/>
      <c r="F66" s="218"/>
      <c r="G66" s="299"/>
      <c r="H66" s="212"/>
      <c r="I66" s="212"/>
      <c r="J66" s="21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">
      <c r="A67" s="5"/>
      <c r="B67" s="212"/>
      <c r="C67" s="212"/>
      <c r="D67" s="212"/>
      <c r="E67" s="212" t="s">
        <v>518</v>
      </c>
      <c r="F67" s="212">
        <f>SUM(F7:F65)</f>
        <v>93981.279959025152</v>
      </c>
      <c r="G67" s="212" t="s">
        <v>518</v>
      </c>
      <c r="H67" s="212">
        <f>SUM(H7:H65)</f>
        <v>95284.26593800362</v>
      </c>
      <c r="I67" s="212" t="s">
        <v>518</v>
      </c>
      <c r="J67" s="212">
        <f>SUM(J7:J65)</f>
        <v>308945.91527912422</v>
      </c>
      <c r="K67" s="5"/>
      <c r="L67" s="5"/>
      <c r="M67" s="5"/>
      <c r="N67" s="5"/>
      <c r="O67" s="5"/>
      <c r="P67" s="5"/>
      <c r="Q67" s="5"/>
      <c r="R67" s="5"/>
      <c r="S67" s="5"/>
      <c r="T67" s="5">
        <v>3950</v>
      </c>
      <c r="U67" s="5">
        <f>T67^2*PI()/4</f>
        <v>12254174.844408687</v>
      </c>
      <c r="V67" s="5">
        <f>U67*C43*B3*0.000000001</f>
        <v>980.33398755269513</v>
      </c>
      <c r="W67" s="5"/>
      <c r="X67" s="5"/>
      <c r="Y67" s="5"/>
      <c r="Z67" s="5"/>
      <c r="AA67" s="5"/>
      <c r="AB67" s="5"/>
      <c r="AC67" s="5"/>
    </row>
    <row r="68" spans="1:29" x14ac:dyDescent="0.2">
      <c r="A68" s="5"/>
      <c r="B68" s="5"/>
      <c r="C68" s="5"/>
      <c r="D68" s="5"/>
      <c r="E68" s="5"/>
      <c r="F68" s="5"/>
      <c r="G68" s="5" t="s">
        <v>610</v>
      </c>
      <c r="H68" s="5">
        <v>1.02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2">
      <c r="A69" s="5"/>
      <c r="B69" s="5"/>
      <c r="C69" s="5"/>
      <c r="D69" s="5"/>
      <c r="E69" s="5"/>
      <c r="F69" s="5"/>
      <c r="G69" s="5" t="s">
        <v>611</v>
      </c>
      <c r="H69" s="5">
        <f>H67*H68</f>
        <v>97189.951256763699</v>
      </c>
      <c r="I69" s="5" t="s">
        <v>612</v>
      </c>
      <c r="J69" s="5">
        <f>SUM(J25:J33,J16,J37,J38,J41,J43,J7,J8,J14)</f>
        <v>263903.65872158989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>
        <v>103356836.49350099</v>
      </c>
      <c r="X69" s="5">
        <f>W69*8000*0.000000001*5</f>
        <v>4134.2734597400395</v>
      </c>
      <c r="Y69" s="5"/>
      <c r="Z69" s="5"/>
      <c r="AA69" s="5"/>
      <c r="AB69" s="5"/>
      <c r="AC69" s="5"/>
    </row>
    <row r="70" spans="1:29" x14ac:dyDescent="0.2">
      <c r="A70" s="5"/>
      <c r="B70" s="5"/>
      <c r="C70" s="5"/>
      <c r="D70" s="5"/>
      <c r="E70" s="5"/>
      <c r="F70" s="5"/>
      <c r="G70" s="5" t="s">
        <v>613</v>
      </c>
      <c r="H70" s="5">
        <f>SUM(H25:H35,H37,H38,H49:H54,H56:H62)</f>
        <v>37848.444722161934</v>
      </c>
      <c r="I70" s="5" t="s">
        <v>614</v>
      </c>
      <c r="J70" s="5">
        <f>SUM(H25:H33,H16,H37,H38,H41,H43,H7,H8,H14)</f>
        <v>88849.226034437248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2">
      <c r="A71" s="5"/>
      <c r="B71" s="5"/>
      <c r="C71" s="5"/>
      <c r="D71" s="5"/>
      <c r="E71" s="5"/>
      <c r="F71" s="5"/>
      <c r="G71" s="5" t="s">
        <v>615</v>
      </c>
      <c r="H71" s="5">
        <f>SUM(H41:H46)+H55-(8*('Main Dimensions Calcs'!D56-'Main Dimensions Calcs'!D55)*PI()*4^2/4)</f>
        <v>37483.613497718368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">
      <c r="A72" s="5"/>
      <c r="B72" s="5"/>
      <c r="C72" s="5"/>
      <c r="D72" s="5"/>
      <c r="E72" s="5"/>
      <c r="F72" s="5"/>
      <c r="G72" s="5" t="s">
        <v>616</v>
      </c>
      <c r="H72" s="5">
        <f>SUM(H14:H16)</f>
        <v>14778.28306370569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">
      <c r="A76" s="5"/>
      <c r="B76" s="5"/>
      <c r="C76" s="5"/>
      <c r="D76" s="5"/>
      <c r="E76" s="5"/>
      <c r="F76" s="5"/>
      <c r="G76" s="5"/>
      <c r="H76" s="6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">
      <c r="A77" s="5"/>
      <c r="B77" s="5"/>
      <c r="C77" s="5"/>
      <c r="D77" s="5"/>
      <c r="E77" s="5"/>
      <c r="F77" s="5"/>
      <c r="G77" s="5"/>
      <c r="H77" s="6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">
      <c r="A78" s="5"/>
      <c r="B78" s="5"/>
      <c r="C78" s="5"/>
      <c r="D78" s="5"/>
      <c r="E78" s="5"/>
      <c r="F78" s="5"/>
      <c r="G78" s="5"/>
      <c r="H78" s="6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20.25" customHeight="1" x14ac:dyDescent="0.3">
      <c r="A90" s="949" t="s">
        <v>617</v>
      </c>
      <c r="B90" s="809"/>
      <c r="C90" s="809"/>
      <c r="D90" s="809"/>
      <c r="E90" s="809"/>
      <c r="F90" s="809"/>
      <c r="G90" s="809"/>
      <c r="H90" s="809"/>
      <c r="I90" s="809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5.75" customHeight="1" x14ac:dyDescent="0.25">
      <c r="A91" s="5"/>
      <c r="B91" s="950" t="s">
        <v>514</v>
      </c>
      <c r="C91" s="809"/>
      <c r="D91" s="809"/>
      <c r="E91" s="809"/>
      <c r="F91" s="296" t="s">
        <v>515</v>
      </c>
      <c r="G91" s="296" t="s">
        <v>516</v>
      </c>
      <c r="H91" s="212"/>
      <c r="I91" s="212"/>
      <c r="J91" s="212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26.25" customHeight="1" x14ac:dyDescent="0.25">
      <c r="A92" s="102" t="s">
        <v>618</v>
      </c>
      <c r="B92" s="218" t="s">
        <v>377</v>
      </c>
      <c r="C92" s="218" t="s">
        <v>378</v>
      </c>
      <c r="D92" s="218" t="s">
        <v>379</v>
      </c>
      <c r="E92" s="218" t="s">
        <v>619</v>
      </c>
      <c r="F92" s="218"/>
      <c r="G92" s="218"/>
      <c r="H92" s="212" t="s">
        <v>518</v>
      </c>
      <c r="I92" s="212" t="s">
        <v>519</v>
      </c>
      <c r="J92" s="212" t="s">
        <v>520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38.25" customHeight="1" x14ac:dyDescent="0.2">
      <c r="A93" s="212" t="s">
        <v>620</v>
      </c>
      <c r="B93" s="263">
        <f>B95</f>
        <v>32</v>
      </c>
      <c r="C93" s="5"/>
      <c r="D93" s="5"/>
      <c r="E93" s="5">
        <v>2</v>
      </c>
      <c r="F93" s="5">
        <f>B93*E93</f>
        <v>64</v>
      </c>
      <c r="G93" s="5">
        <v>1</v>
      </c>
      <c r="H93" s="5">
        <f>G93*F93</f>
        <v>64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25.5" customHeight="1" x14ac:dyDescent="0.2">
      <c r="A94" s="212" t="s">
        <v>621</v>
      </c>
      <c r="B94" s="263">
        <f>B93</f>
        <v>32</v>
      </c>
      <c r="C94" s="263"/>
      <c r="D94" s="263"/>
      <c r="E94" s="263">
        <v>2</v>
      </c>
      <c r="F94" s="263">
        <v>32</v>
      </c>
      <c r="G94" s="5">
        <v>1</v>
      </c>
      <c r="H94" s="5">
        <f>G94*F94</f>
        <v>32</v>
      </c>
      <c r="I94" s="265">
        <v>1</v>
      </c>
      <c r="J94" s="5">
        <f>I94*H94</f>
        <v>32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x14ac:dyDescent="0.2">
      <c r="A95" s="212" t="s">
        <v>622</v>
      </c>
      <c r="B95" s="263">
        <f>'Main Dimensions Calcs'!D37</f>
        <v>32</v>
      </c>
      <c r="C95" s="263">
        <f>'Main Dimensions Calcs'!D38</f>
        <v>42</v>
      </c>
      <c r="D95" s="263">
        <v>1100</v>
      </c>
      <c r="E95" s="263"/>
      <c r="F95" s="263">
        <f>C95^2*PI()/4*D95*0.000000001*B3*B95</f>
        <v>390.14056864164064</v>
      </c>
      <c r="G95" s="5">
        <v>1</v>
      </c>
      <c r="H95" s="5">
        <f>G95*F95</f>
        <v>390.14056864164064</v>
      </c>
      <c r="I95" s="265">
        <v>1</v>
      </c>
      <c r="J95" s="5">
        <f>I95*H95</f>
        <v>390.14056864164064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38.25" customHeight="1" x14ac:dyDescent="0.2">
      <c r="A96" s="212" t="s">
        <v>623</v>
      </c>
      <c r="B96" s="263"/>
      <c r="C96" s="263"/>
      <c r="D96" s="263"/>
      <c r="E96" s="263"/>
      <c r="F96" s="263">
        <v>192</v>
      </c>
      <c r="G96" s="5">
        <v>1</v>
      </c>
      <c r="H96" s="5">
        <f>G96*F96</f>
        <v>192</v>
      </c>
      <c r="I96" s="265">
        <v>1</v>
      </c>
      <c r="J96" s="5">
        <f>I96*H96</f>
        <v>192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x14ac:dyDescent="0.2">
      <c r="A97" s="212"/>
      <c r="B97" s="263" t="s">
        <v>624</v>
      </c>
      <c r="C97" s="263" t="s">
        <v>625</v>
      </c>
      <c r="D97" s="263"/>
      <c r="E97" s="263" t="s">
        <v>626</v>
      </c>
      <c r="F97" s="263"/>
      <c r="G97" s="5">
        <v>1</v>
      </c>
      <c r="H97" s="5"/>
      <c r="I97" s="265">
        <v>1</v>
      </c>
      <c r="J97" s="5">
        <f>I97*H97</f>
        <v>0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x14ac:dyDescent="0.2">
      <c r="A98" s="212" t="s">
        <v>627</v>
      </c>
      <c r="B98" s="5">
        <v>1</v>
      </c>
      <c r="C98" s="5">
        <v>250</v>
      </c>
      <c r="D98" s="5">
        <f>('Main Dimensions Calcs'!D32-2*'Weight Calculations'!C98)*PI()</f>
        <v>71942.471767206269</v>
      </c>
      <c r="E98" s="5">
        <v>5.44</v>
      </c>
      <c r="F98" s="5">
        <f>E98*D98/1000</f>
        <v>391.36704641360211</v>
      </c>
      <c r="G98" s="5">
        <v>1</v>
      </c>
      <c r="H98" s="5">
        <f>G98*F98</f>
        <v>391.36704641360211</v>
      </c>
      <c r="I98" s="265">
        <v>1</v>
      </c>
      <c r="J98" s="5">
        <f>I98*H98</f>
        <v>391.36704641360211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x14ac:dyDescent="0.2">
      <c r="A99" s="212"/>
      <c r="B99" s="5"/>
      <c r="C99" s="5"/>
      <c r="D99" s="5"/>
      <c r="E99" s="5"/>
      <c r="F99" s="5"/>
      <c r="G99" s="5">
        <v>1</v>
      </c>
      <c r="H99" s="5"/>
      <c r="I99" s="26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5.75" customHeight="1" x14ac:dyDescent="0.25">
      <c r="A100" s="296" t="s">
        <v>522</v>
      </c>
      <c r="B100" s="263"/>
      <c r="C100" s="263" t="s">
        <v>583</v>
      </c>
      <c r="D100" s="263"/>
      <c r="E100" s="263"/>
      <c r="F100" s="263"/>
      <c r="G100" s="5">
        <v>1</v>
      </c>
      <c r="H100" s="5"/>
      <c r="I100" s="265"/>
      <c r="J100" s="5"/>
      <c r="K100" s="5" t="s">
        <v>527</v>
      </c>
      <c r="L100" s="5" t="s">
        <v>531</v>
      </c>
      <c r="M100" s="5" t="s">
        <v>532</v>
      </c>
      <c r="N100" s="5" t="s">
        <v>533</v>
      </c>
      <c r="O100" s="5" t="s">
        <v>534</v>
      </c>
      <c r="P100" s="5" t="s">
        <v>535</v>
      </c>
      <c r="Q100" s="5" t="s">
        <v>536</v>
      </c>
      <c r="R100" s="5" t="s">
        <v>537</v>
      </c>
      <c r="S100" s="5" t="s">
        <v>538</v>
      </c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x14ac:dyDescent="0.2">
      <c r="A101" s="212" t="s">
        <v>522</v>
      </c>
      <c r="B101" s="263">
        <f>'Main Dimensions Calcs'!D32</f>
        <v>23400</v>
      </c>
      <c r="C101" s="263">
        <v>250</v>
      </c>
      <c r="D101" s="263"/>
      <c r="E101" s="263">
        <v>5</v>
      </c>
      <c r="F101" s="263">
        <f>(B101+C101*2)^2*PI()/4*0.000000001*B3*E101</f>
        <v>17945.091396570257</v>
      </c>
      <c r="G101" s="5">
        <v>1</v>
      </c>
      <c r="H101" s="5">
        <f>G101*F101</f>
        <v>17945.091396570257</v>
      </c>
      <c r="I101" s="265">
        <v>1</v>
      </c>
      <c r="J101" s="5">
        <f>I101*H101</f>
        <v>17945.091396570257</v>
      </c>
      <c r="K101" s="5">
        <f>(B101+C101*2)^2*PI()/4000000</f>
        <v>448.62728491425645</v>
      </c>
      <c r="L101" s="5">
        <v>1.02</v>
      </c>
      <c r="M101" s="5">
        <f>K101*L101</f>
        <v>457.59983061254161</v>
      </c>
      <c r="N101" s="5">
        <v>1.1499999999999999</v>
      </c>
      <c r="O101" s="5">
        <f>M101*N101</f>
        <v>526.23980520442285</v>
      </c>
      <c r="P101" s="5">
        <v>2230</v>
      </c>
      <c r="Q101" s="5">
        <f>O101/(P101/1000)</f>
        <v>235.98197542799232</v>
      </c>
      <c r="R101" s="5">
        <v>7</v>
      </c>
      <c r="S101" s="5">
        <f>Q101/R101</f>
        <v>33.711710775427477</v>
      </c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x14ac:dyDescent="0.2">
      <c r="A102" s="212"/>
      <c r="B102" s="263"/>
      <c r="C102" s="263"/>
      <c r="D102" s="263"/>
      <c r="E102" s="263"/>
      <c r="F102" s="263"/>
      <c r="G102" s="5">
        <v>1</v>
      </c>
      <c r="H102" s="5"/>
      <c r="I102" s="26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5.75" customHeight="1" x14ac:dyDescent="0.25">
      <c r="A103" s="296" t="s">
        <v>628</v>
      </c>
      <c r="B103" s="263"/>
      <c r="C103" s="263"/>
      <c r="D103" s="263"/>
      <c r="E103" s="263"/>
      <c r="F103" s="263"/>
      <c r="G103" s="5">
        <v>1</v>
      </c>
      <c r="H103" s="5"/>
      <c r="I103" s="265"/>
      <c r="J103" s="5"/>
      <c r="K103" s="5" t="s">
        <v>549</v>
      </c>
      <c r="L103" s="5" t="s">
        <v>550</v>
      </c>
      <c r="M103" s="263" t="s">
        <v>548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x14ac:dyDescent="0.2">
      <c r="A104" s="212" t="s">
        <v>551</v>
      </c>
      <c r="B104" s="263"/>
      <c r="C104" s="263">
        <f>'Main Dimensions Calcs'!I25</f>
        <v>2229</v>
      </c>
      <c r="D104" s="263">
        <f>'Main Dimensions Calcs'!$D$32*PI()</f>
        <v>73513.268094001163</v>
      </c>
      <c r="E104" s="263">
        <f>'Main Dimensions Calcs'!H25</f>
        <v>6</v>
      </c>
      <c r="F104" s="263">
        <f t="shared" ref="F104:F113" si="8">E104*D104*C104*0.000000001*$B$3</f>
        <v>7865.3315799133725</v>
      </c>
      <c r="G104" s="5">
        <v>1</v>
      </c>
      <c r="H104" s="5">
        <f t="shared" ref="H104:H114" si="9">G104*F104</f>
        <v>7865.3315799133725</v>
      </c>
      <c r="I104" s="265">
        <v>1</v>
      </c>
      <c r="J104" s="5">
        <f t="shared" ref="J104:J114" si="10">I104*H104</f>
        <v>7865.3315799133725</v>
      </c>
      <c r="K104" s="5">
        <v>8</v>
      </c>
      <c r="L104" s="263">
        <f t="shared" ref="L104:L113" si="11">D104/K104</f>
        <v>9189.1585117501454</v>
      </c>
      <c r="M104" s="263">
        <f t="shared" ref="M104:M113" si="12">C104</f>
        <v>2229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x14ac:dyDescent="0.2">
      <c r="A105" s="212" t="s">
        <v>629</v>
      </c>
      <c r="B105" s="263"/>
      <c r="C105" s="263">
        <f>'Main Dimensions Calcs'!I26</f>
        <v>2229</v>
      </c>
      <c r="D105" s="263">
        <f>'Main Dimensions Calcs'!$D$32*PI()</f>
        <v>73513.268094001163</v>
      </c>
      <c r="E105" s="263">
        <f>'Main Dimensions Calcs'!H26</f>
        <v>6</v>
      </c>
      <c r="F105" s="263">
        <f t="shared" si="8"/>
        <v>7865.3315799133725</v>
      </c>
      <c r="G105" s="5">
        <v>1</v>
      </c>
      <c r="H105" s="5">
        <f t="shared" si="9"/>
        <v>7865.3315799133725</v>
      </c>
      <c r="I105" s="265">
        <v>1</v>
      </c>
      <c r="J105" s="5">
        <f t="shared" si="10"/>
        <v>7865.3315799133725</v>
      </c>
      <c r="K105" s="5">
        <v>8</v>
      </c>
      <c r="L105" s="263">
        <f t="shared" si="11"/>
        <v>9189.1585117501454</v>
      </c>
      <c r="M105" s="263">
        <f t="shared" si="12"/>
        <v>2229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x14ac:dyDescent="0.2">
      <c r="A106" s="212" t="s">
        <v>630</v>
      </c>
      <c r="B106" s="263"/>
      <c r="C106" s="263">
        <f>'Main Dimensions Calcs'!I27</f>
        <v>2229</v>
      </c>
      <c r="D106" s="263">
        <f>'Main Dimensions Calcs'!$D$32*PI()</f>
        <v>73513.268094001163</v>
      </c>
      <c r="E106" s="263">
        <f>'Main Dimensions Calcs'!H27</f>
        <v>6</v>
      </c>
      <c r="F106" s="263">
        <f t="shared" si="8"/>
        <v>7865.3315799133725</v>
      </c>
      <c r="G106" s="5">
        <v>1</v>
      </c>
      <c r="H106" s="5">
        <f t="shared" si="9"/>
        <v>7865.3315799133725</v>
      </c>
      <c r="I106" s="265">
        <v>1</v>
      </c>
      <c r="J106" s="5">
        <f t="shared" si="10"/>
        <v>7865.3315799133725</v>
      </c>
      <c r="K106" s="5">
        <v>8</v>
      </c>
      <c r="L106" s="263">
        <f t="shared" si="11"/>
        <v>9189.1585117501454</v>
      </c>
      <c r="M106" s="263">
        <f t="shared" si="12"/>
        <v>2229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x14ac:dyDescent="0.2">
      <c r="A107" s="212" t="s">
        <v>631</v>
      </c>
      <c r="B107" s="263"/>
      <c r="C107" s="263">
        <f>'Main Dimensions Calcs'!I28</f>
        <v>2229</v>
      </c>
      <c r="D107" s="263">
        <f>'Main Dimensions Calcs'!$D$32*PI()</f>
        <v>73513.268094001163</v>
      </c>
      <c r="E107" s="263">
        <f>'Main Dimensions Calcs'!H28</f>
        <v>6</v>
      </c>
      <c r="F107" s="263">
        <f t="shared" si="8"/>
        <v>7865.3315799133725</v>
      </c>
      <c r="G107" s="5">
        <v>1</v>
      </c>
      <c r="H107" s="5">
        <f t="shared" si="9"/>
        <v>7865.3315799133725</v>
      </c>
      <c r="I107" s="265">
        <v>1</v>
      </c>
      <c r="J107" s="5">
        <f t="shared" si="10"/>
        <v>7865.3315799133725</v>
      </c>
      <c r="K107" s="5">
        <v>8</v>
      </c>
      <c r="L107" s="263">
        <f t="shared" si="11"/>
        <v>9189.1585117501454</v>
      </c>
      <c r="M107" s="263">
        <f t="shared" si="12"/>
        <v>2229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x14ac:dyDescent="0.2">
      <c r="A108" s="212" t="s">
        <v>632</v>
      </c>
      <c r="B108" s="263"/>
      <c r="C108" s="263">
        <f>'Main Dimensions Calcs'!I29</f>
        <v>0</v>
      </c>
      <c r="D108" s="263">
        <f>'Main Dimensions Calcs'!$D$32*PI()</f>
        <v>73513.268094001163</v>
      </c>
      <c r="E108" s="263">
        <f>'Main Dimensions Calcs'!H29</f>
        <v>0</v>
      </c>
      <c r="F108" s="263">
        <f t="shared" si="8"/>
        <v>0</v>
      </c>
      <c r="G108" s="5">
        <v>1</v>
      </c>
      <c r="H108" s="5">
        <f t="shared" si="9"/>
        <v>0</v>
      </c>
      <c r="I108" s="265">
        <v>1</v>
      </c>
      <c r="J108" s="5">
        <f t="shared" si="10"/>
        <v>0</v>
      </c>
      <c r="K108" s="5">
        <v>8</v>
      </c>
      <c r="L108" s="263">
        <f t="shared" si="11"/>
        <v>9189.1585117501454</v>
      </c>
      <c r="M108" s="263">
        <f t="shared" si="12"/>
        <v>0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x14ac:dyDescent="0.2">
      <c r="A109" s="212" t="s">
        <v>633</v>
      </c>
      <c r="B109" s="263"/>
      <c r="C109" s="263">
        <f>'Main Dimensions Calcs'!I30</f>
        <v>0</v>
      </c>
      <c r="D109" s="263">
        <f>'Main Dimensions Calcs'!$D$32*PI()</f>
        <v>73513.268094001163</v>
      </c>
      <c r="E109" s="263">
        <f>'Main Dimensions Calcs'!H30</f>
        <v>0</v>
      </c>
      <c r="F109" s="263">
        <f t="shared" si="8"/>
        <v>0</v>
      </c>
      <c r="G109" s="5">
        <v>1</v>
      </c>
      <c r="H109" s="5">
        <f t="shared" si="9"/>
        <v>0</v>
      </c>
      <c r="I109" s="265">
        <v>1</v>
      </c>
      <c r="J109" s="5">
        <f t="shared" si="10"/>
        <v>0</v>
      </c>
      <c r="K109" s="5">
        <v>8</v>
      </c>
      <c r="L109" s="263">
        <f t="shared" si="11"/>
        <v>9189.1585117501454</v>
      </c>
      <c r="M109" s="263">
        <f t="shared" si="12"/>
        <v>0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x14ac:dyDescent="0.2">
      <c r="A110" s="212" t="s">
        <v>634</v>
      </c>
      <c r="B110" s="263"/>
      <c r="C110" s="263">
        <f>'Main Dimensions Calcs'!I31</f>
        <v>0</v>
      </c>
      <c r="D110" s="263">
        <f>'Main Dimensions Calcs'!$D$32*PI()</f>
        <v>73513.268094001163</v>
      </c>
      <c r="E110" s="263">
        <f>'Main Dimensions Calcs'!H31</f>
        <v>0</v>
      </c>
      <c r="F110" s="263">
        <f t="shared" si="8"/>
        <v>0</v>
      </c>
      <c r="G110" s="5">
        <v>1</v>
      </c>
      <c r="H110" s="5">
        <f t="shared" si="9"/>
        <v>0</v>
      </c>
      <c r="I110" s="265">
        <v>1</v>
      </c>
      <c r="J110" s="5">
        <f t="shared" si="10"/>
        <v>0</v>
      </c>
      <c r="K110" s="5">
        <v>8</v>
      </c>
      <c r="L110" s="263">
        <f t="shared" si="11"/>
        <v>9189.1585117501454</v>
      </c>
      <c r="M110" s="263">
        <f t="shared" si="12"/>
        <v>0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x14ac:dyDescent="0.2">
      <c r="A111" s="212" t="s">
        <v>558</v>
      </c>
      <c r="B111" s="263"/>
      <c r="C111" s="263">
        <f>'Main Dimensions Calcs'!I32</f>
        <v>0</v>
      </c>
      <c r="D111" s="263">
        <f>'Main Dimensions Calcs'!$D$32*PI()</f>
        <v>73513.268094001163</v>
      </c>
      <c r="E111" s="263">
        <f>'Main Dimensions Calcs'!H32</f>
        <v>0</v>
      </c>
      <c r="F111" s="263">
        <f t="shared" si="8"/>
        <v>0</v>
      </c>
      <c r="G111" s="5">
        <v>1</v>
      </c>
      <c r="H111" s="5">
        <f t="shared" si="9"/>
        <v>0</v>
      </c>
      <c r="I111" s="265">
        <v>1</v>
      </c>
      <c r="J111" s="5">
        <f t="shared" si="10"/>
        <v>0</v>
      </c>
      <c r="K111" s="5">
        <v>8</v>
      </c>
      <c r="L111" s="263">
        <f t="shared" si="11"/>
        <v>9189.1585117501454</v>
      </c>
      <c r="M111" s="263">
        <f t="shared" si="12"/>
        <v>0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x14ac:dyDescent="0.2">
      <c r="A112" s="212" t="s">
        <v>559</v>
      </c>
      <c r="B112" s="263"/>
      <c r="C112" s="263">
        <f>'Main Dimensions Calcs'!I33</f>
        <v>0</v>
      </c>
      <c r="D112" s="263">
        <f>'Main Dimensions Calcs'!$D$32*PI()</f>
        <v>73513.268094001163</v>
      </c>
      <c r="E112" s="263">
        <f>'Main Dimensions Calcs'!H33</f>
        <v>0</v>
      </c>
      <c r="F112" s="263">
        <f t="shared" si="8"/>
        <v>0</v>
      </c>
      <c r="G112" s="5">
        <v>1</v>
      </c>
      <c r="H112" s="5">
        <f t="shared" si="9"/>
        <v>0</v>
      </c>
      <c r="I112" s="265">
        <v>1</v>
      </c>
      <c r="J112" s="5">
        <f t="shared" si="10"/>
        <v>0</v>
      </c>
      <c r="K112" s="5">
        <v>8</v>
      </c>
      <c r="L112" s="263">
        <f t="shared" si="11"/>
        <v>9189.1585117501454</v>
      </c>
      <c r="M112" s="263">
        <f t="shared" si="12"/>
        <v>0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x14ac:dyDescent="0.2">
      <c r="A113" s="212" t="s">
        <v>560</v>
      </c>
      <c r="B113" s="263"/>
      <c r="C113" s="263">
        <f>'Main Dimensions Calcs'!I34</f>
        <v>0</v>
      </c>
      <c r="D113" s="263">
        <f>'Main Dimensions Calcs'!$D$32*PI()</f>
        <v>73513.268094001163</v>
      </c>
      <c r="E113" s="263">
        <f>'Main Dimensions Calcs'!H34</f>
        <v>0</v>
      </c>
      <c r="F113" s="263">
        <f t="shared" si="8"/>
        <v>0</v>
      </c>
      <c r="G113" s="5">
        <v>1</v>
      </c>
      <c r="H113" s="5">
        <f t="shared" si="9"/>
        <v>0</v>
      </c>
      <c r="I113" s="265">
        <v>1</v>
      </c>
      <c r="J113" s="5">
        <f t="shared" si="10"/>
        <v>0</v>
      </c>
      <c r="K113" s="5">
        <v>8</v>
      </c>
      <c r="L113" s="263">
        <f t="shared" si="11"/>
        <v>9189.1585117501454</v>
      </c>
      <c r="M113" s="263">
        <f t="shared" si="12"/>
        <v>0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25.5" customHeight="1" x14ac:dyDescent="0.2">
      <c r="A114" s="212" t="s">
        <v>635</v>
      </c>
      <c r="B114" s="5">
        <f>'Main Dimensions Calcs'!D43</f>
        <v>2</v>
      </c>
      <c r="C114" s="5">
        <f>'Main Dimensions Calcs'!D44</f>
        <v>140</v>
      </c>
      <c r="D114" s="5">
        <f>('Main Dimensions Calcs'!D32+'Main Dimensions Calcs'!D44*2)*PI()</f>
        <v>74392.914037006296</v>
      </c>
      <c r="E114" s="5">
        <f>'Main Dimensions Calcs'!D45</f>
        <v>14</v>
      </c>
      <c r="F114" s="5">
        <f>C114*D114*E114*0.000000001*B3*B114</f>
        <v>2332.9617842005177</v>
      </c>
      <c r="G114" s="5">
        <v>1</v>
      </c>
      <c r="H114" s="5">
        <f t="shared" si="9"/>
        <v>2332.9617842005177</v>
      </c>
      <c r="I114" s="265">
        <v>1</v>
      </c>
      <c r="J114" s="5">
        <f t="shared" si="10"/>
        <v>2332.9617842005177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x14ac:dyDescent="0.2">
      <c r="A115" s="5"/>
      <c r="B115" s="5"/>
      <c r="C115" s="5"/>
      <c r="D115" s="5"/>
      <c r="E115" s="5"/>
      <c r="F115" s="5"/>
      <c r="G115" s="5">
        <v>1</v>
      </c>
      <c r="H115" s="5"/>
      <c r="I115" s="26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">
      <c r="A116" s="5"/>
      <c r="B116" s="5"/>
      <c r="C116" s="5"/>
      <c r="D116" s="5"/>
      <c r="E116" s="5"/>
      <c r="F116" s="5"/>
      <c r="G116" s="5">
        <v>1</v>
      </c>
      <c r="H116" s="5"/>
      <c r="I116" s="26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8" customHeight="1" x14ac:dyDescent="0.25">
      <c r="A117" s="303" t="s">
        <v>565</v>
      </c>
      <c r="B117" s="5" t="s">
        <v>196</v>
      </c>
      <c r="C117" s="5" t="s">
        <v>636</v>
      </c>
      <c r="D117" s="5"/>
      <c r="E117" s="5"/>
      <c r="F117" s="5"/>
      <c r="G117" s="5">
        <v>1</v>
      </c>
      <c r="H117" s="5"/>
      <c r="I117" s="265"/>
      <c r="J117" s="5"/>
      <c r="K117" s="5" t="s">
        <v>473</v>
      </c>
      <c r="L117" s="5" t="s">
        <v>568</v>
      </c>
      <c r="M117" s="5" t="s">
        <v>569</v>
      </c>
      <c r="N117" s="5" t="s">
        <v>570</v>
      </c>
      <c r="O117" s="5" t="s">
        <v>571</v>
      </c>
      <c r="P117" s="5" t="s">
        <v>572</v>
      </c>
      <c r="Q117" s="5" t="s">
        <v>573</v>
      </c>
      <c r="R117" s="5" t="s">
        <v>574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x14ac:dyDescent="0.2">
      <c r="A118" s="212" t="s">
        <v>637</v>
      </c>
      <c r="B118" s="5"/>
      <c r="C118" s="304">
        <f>'Main Dimensions Calcs'!D41</f>
        <v>478455298.90252364</v>
      </c>
      <c r="D118" s="5"/>
      <c r="E118" s="5">
        <f>'Main Dimensions Calcs'!D35</f>
        <v>12</v>
      </c>
      <c r="F118" s="5">
        <f>C118*E118*B3*0.000000001-B119^2*PI()*B3*E118/4*0.000000001</f>
        <v>44755.307909579045</v>
      </c>
      <c r="G118" s="5">
        <v>1.03</v>
      </c>
      <c r="H118" s="304">
        <f>G118*F118</f>
        <v>46097.967146866416</v>
      </c>
      <c r="I118" s="265">
        <v>1</v>
      </c>
      <c r="J118" s="5">
        <f>I118*H118</f>
        <v>46097.967146866416</v>
      </c>
      <c r="K118" s="305">
        <f>ASIN('Main Dimensions Calcs'!D32*0.5/'Main Dimensions Calcs'!D33)</f>
        <v>0.64737271885152758</v>
      </c>
      <c r="L118" s="5">
        <f>K118*'Main Dimensions Calcs'!D33</f>
        <v>12559.030745719636</v>
      </c>
      <c r="M118" s="263">
        <f>L118-1925+50+100</f>
        <v>10784.030745719636</v>
      </c>
      <c r="N118" s="5">
        <f>('Main Dimensions Calcs'!D32+100*2)*PI()</f>
        <v>74141.586624719115</v>
      </c>
      <c r="O118" s="5">
        <v>24</v>
      </c>
      <c r="P118" s="5">
        <f>N118/O118</f>
        <v>3089.2327760299631</v>
      </c>
      <c r="Q118" s="5">
        <f>P118+40</f>
        <v>3129.2327760299631</v>
      </c>
      <c r="R118" s="5">
        <f>N118/PI()</f>
        <v>23600</v>
      </c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x14ac:dyDescent="0.2">
      <c r="A119" s="212" t="s">
        <v>638</v>
      </c>
      <c r="B119" s="5">
        <v>3950</v>
      </c>
      <c r="C119" s="5"/>
      <c r="D119" s="5"/>
      <c r="E119" s="5">
        <v>8</v>
      </c>
      <c r="F119" s="5">
        <f>PI()*B119^2*E119*0.000000001*B3/4</f>
        <v>784.26719004215602</v>
      </c>
      <c r="G119" s="5">
        <v>1</v>
      </c>
      <c r="H119" s="5">
        <f>G119*F119</f>
        <v>784.26719004215602</v>
      </c>
      <c r="I119" s="265">
        <v>1</v>
      </c>
      <c r="J119" s="5">
        <f>I119*H119</f>
        <v>784.26719004215602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x14ac:dyDescent="0.2">
      <c r="A120" s="212"/>
      <c r="B120" s="5" t="s">
        <v>461</v>
      </c>
      <c r="C120" s="5" t="s">
        <v>463</v>
      </c>
      <c r="D120" s="5" t="s">
        <v>293</v>
      </c>
      <c r="E120" s="5" t="s">
        <v>639</v>
      </c>
      <c r="F120" s="5"/>
      <c r="G120" s="5">
        <v>1</v>
      </c>
      <c r="H120" s="5"/>
      <c r="I120" s="265">
        <v>1</v>
      </c>
      <c r="J120" s="5"/>
      <c r="K120" s="5"/>
      <c r="L120" s="5"/>
      <c r="M120" s="263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25.5" customHeight="1" x14ac:dyDescent="0.2">
      <c r="A121" s="212" t="s">
        <v>640</v>
      </c>
      <c r="B121" s="5">
        <f>'Main Dimensions Calcs'!D126</f>
        <v>5000</v>
      </c>
      <c r="C121" s="5">
        <f>'Main Dimensions Calcs'!D128</f>
        <v>8500</v>
      </c>
      <c r="D121" s="5">
        <f>B121*PI()+C121*PI()+'Main Dimensions Calcs'!D130*PI()</f>
        <v>80110.612666539731</v>
      </c>
      <c r="E121" s="5">
        <v>16</v>
      </c>
      <c r="F121" s="5">
        <f>D121*E121*0.001</f>
        <v>1281.7698026646358</v>
      </c>
      <c r="G121" s="5">
        <v>1</v>
      </c>
      <c r="H121" s="5">
        <f>G121*F121</f>
        <v>1281.7698026646358</v>
      </c>
      <c r="I121" s="265">
        <v>1</v>
      </c>
      <c r="J121" s="5">
        <f>I121*H121</f>
        <v>1281.7698026646358</v>
      </c>
      <c r="K121" s="5"/>
      <c r="L121" s="5"/>
      <c r="M121" s="263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x14ac:dyDescent="0.2">
      <c r="A122" s="212"/>
      <c r="B122" s="5"/>
      <c r="C122" s="5"/>
      <c r="D122" s="5"/>
      <c r="E122" s="5" t="s">
        <v>641</v>
      </c>
      <c r="F122" s="5"/>
      <c r="G122" s="5">
        <v>1</v>
      </c>
      <c r="H122" s="5"/>
      <c r="I122" s="265">
        <v>1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x14ac:dyDescent="0.2">
      <c r="A123" s="212" t="s">
        <v>575</v>
      </c>
      <c r="B123" s="5">
        <v>11</v>
      </c>
      <c r="C123" s="5"/>
      <c r="D123" s="5"/>
      <c r="E123" s="5">
        <v>2</v>
      </c>
      <c r="F123" s="5">
        <f>B123*E123</f>
        <v>22</v>
      </c>
      <c r="G123" s="5">
        <v>1</v>
      </c>
      <c r="H123" s="5">
        <f>G123*F123</f>
        <v>22</v>
      </c>
      <c r="I123" s="265">
        <v>1</v>
      </c>
      <c r="J123" s="5">
        <f>I123*H123</f>
        <v>22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x14ac:dyDescent="0.2">
      <c r="A124" s="212"/>
      <c r="B124" s="5"/>
      <c r="C124" s="5"/>
      <c r="D124" s="5"/>
      <c r="E124" s="5"/>
      <c r="F124" s="5"/>
      <c r="G124" s="5">
        <v>1</v>
      </c>
      <c r="H124" s="5"/>
      <c r="I124" s="26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x14ac:dyDescent="0.2">
      <c r="A125" s="212"/>
      <c r="B125" s="5"/>
      <c r="C125" s="5"/>
      <c r="D125" s="5"/>
      <c r="E125" s="5"/>
      <c r="F125" s="5"/>
      <c r="G125" s="5">
        <v>1</v>
      </c>
      <c r="H125" s="5"/>
      <c r="I125" s="26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31.5" customHeight="1" x14ac:dyDescent="0.25">
      <c r="A126" s="296" t="s">
        <v>642</v>
      </c>
      <c r="B126" s="263" t="s">
        <v>643</v>
      </c>
      <c r="C126" s="263" t="s">
        <v>619</v>
      </c>
      <c r="D126" s="263"/>
      <c r="E126" s="263"/>
      <c r="F126" s="263"/>
      <c r="G126" s="5">
        <v>1</v>
      </c>
      <c r="H126" s="5"/>
      <c r="I126" s="26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x14ac:dyDescent="0.2">
      <c r="A127" s="212"/>
      <c r="B127" s="263"/>
      <c r="C127" s="263"/>
      <c r="D127" s="263"/>
      <c r="E127" s="263"/>
      <c r="F127" s="263"/>
      <c r="G127" s="5">
        <v>1</v>
      </c>
      <c r="H127" s="5"/>
      <c r="I127" s="26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25.5" customHeight="1" x14ac:dyDescent="0.2">
      <c r="A128" s="212" t="s">
        <v>644</v>
      </c>
      <c r="B128" s="5">
        <v>3</v>
      </c>
      <c r="C128" s="5">
        <v>175</v>
      </c>
      <c r="D128" s="5"/>
      <c r="E128" s="5"/>
      <c r="F128" s="5">
        <f>C128*B128</f>
        <v>525</v>
      </c>
      <c r="G128" s="5">
        <v>1</v>
      </c>
      <c r="H128" s="5">
        <f>G128*F128</f>
        <v>525</v>
      </c>
      <c r="I128" s="265">
        <v>1</v>
      </c>
      <c r="J128" s="5">
        <f>I128*H128</f>
        <v>525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25.5" customHeight="1" x14ac:dyDescent="0.2">
      <c r="A129" s="212" t="s">
        <v>645</v>
      </c>
      <c r="B129" s="5">
        <v>2</v>
      </c>
      <c r="C129" s="5">
        <v>50</v>
      </c>
      <c r="D129" s="5"/>
      <c r="E129" s="5"/>
      <c r="F129" s="5">
        <f>C129*B129</f>
        <v>100</v>
      </c>
      <c r="G129" s="5">
        <v>1</v>
      </c>
      <c r="H129" s="5">
        <f>G129*F129</f>
        <v>100</v>
      </c>
      <c r="I129" s="265">
        <v>1</v>
      </c>
      <c r="J129" s="5">
        <f>I129*H129</f>
        <v>100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25.5" customHeight="1" x14ac:dyDescent="0.2">
      <c r="A130" s="212" t="s">
        <v>646</v>
      </c>
      <c r="B130" s="5">
        <v>3</v>
      </c>
      <c r="C130" s="5">
        <v>35</v>
      </c>
      <c r="D130" s="5"/>
      <c r="E130" s="5"/>
      <c r="F130" s="5">
        <f>C130*B130</f>
        <v>105</v>
      </c>
      <c r="G130" s="5">
        <v>1</v>
      </c>
      <c r="H130" s="5">
        <f>G130*F130</f>
        <v>105</v>
      </c>
      <c r="I130" s="265">
        <v>1</v>
      </c>
      <c r="J130" s="5">
        <f>I130*H130</f>
        <v>105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25.5" customHeight="1" x14ac:dyDescent="0.2">
      <c r="A131" s="212" t="s">
        <v>647</v>
      </c>
      <c r="B131" s="5">
        <v>1</v>
      </c>
      <c r="C131" s="5">
        <v>192</v>
      </c>
      <c r="D131" s="5"/>
      <c r="E131" s="5"/>
      <c r="F131" s="5">
        <f>C131*B131</f>
        <v>192</v>
      </c>
      <c r="G131" s="5">
        <v>1</v>
      </c>
      <c r="H131" s="5">
        <f>G131*F131</f>
        <v>192</v>
      </c>
      <c r="I131" s="265">
        <v>1</v>
      </c>
      <c r="J131" s="5">
        <f>I131*H131</f>
        <v>192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x14ac:dyDescent="0.2">
      <c r="A132" s="212"/>
      <c r="B132" s="5"/>
      <c r="C132" s="5"/>
      <c r="D132" s="5"/>
      <c r="E132" s="5"/>
      <c r="F132" s="5"/>
      <c r="G132" s="5">
        <v>1</v>
      </c>
      <c r="H132" s="5"/>
      <c r="I132" s="265">
        <v>1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x14ac:dyDescent="0.2">
      <c r="A133" s="212" t="s">
        <v>648</v>
      </c>
      <c r="B133" s="5"/>
      <c r="C133" s="5"/>
      <c r="D133" s="5"/>
      <c r="E133" s="5"/>
      <c r="F133" s="5">
        <v>250</v>
      </c>
      <c r="G133" s="5">
        <v>1</v>
      </c>
      <c r="H133" s="5">
        <f>G133*F133</f>
        <v>250</v>
      </c>
      <c r="I133" s="265">
        <v>1</v>
      </c>
      <c r="J133" s="5">
        <f>I133*H133</f>
        <v>250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x14ac:dyDescent="0.2">
      <c r="A134" s="5"/>
      <c r="B134" s="5"/>
      <c r="C134" s="5"/>
      <c r="D134" s="5"/>
      <c r="E134" s="5"/>
      <c r="F134" s="5"/>
      <c r="G134" s="5">
        <v>1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31.5" customHeight="1" x14ac:dyDescent="0.25">
      <c r="A135" s="296" t="s">
        <v>649</v>
      </c>
      <c r="B135" s="5"/>
      <c r="C135" s="5"/>
      <c r="D135" s="5"/>
      <c r="E135" s="5"/>
      <c r="F135" s="5"/>
      <c r="G135" s="5">
        <v>1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x14ac:dyDescent="0.2">
      <c r="A136" s="212" t="s">
        <v>650</v>
      </c>
      <c r="B136" s="5"/>
      <c r="C136" s="5"/>
      <c r="D136" s="5"/>
      <c r="E136" s="5"/>
      <c r="F136" s="5"/>
      <c r="G136" s="5">
        <v>1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x14ac:dyDescent="0.2">
      <c r="A137" s="212"/>
      <c r="B137" s="5" t="s">
        <v>548</v>
      </c>
      <c r="C137" s="5"/>
      <c r="D137" s="5" t="s">
        <v>639</v>
      </c>
      <c r="E137" s="5"/>
      <c r="F137" s="5"/>
      <c r="G137" s="5">
        <v>1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x14ac:dyDescent="0.2">
      <c r="A138" s="5" t="s">
        <v>651</v>
      </c>
      <c r="B138" s="5">
        <f>'Main Dimensions Calcs'!D30</f>
        <v>8913.0432931562736</v>
      </c>
      <c r="C138" s="5"/>
      <c r="D138" s="5">
        <v>44</v>
      </c>
      <c r="E138" s="5"/>
      <c r="F138" s="5">
        <f>B138/1000*D138</f>
        <v>392.17390489887606</v>
      </c>
      <c r="G138" s="5">
        <v>1</v>
      </c>
      <c r="H138" s="5">
        <f>G138*F138</f>
        <v>392.17390489887606</v>
      </c>
      <c r="I138" s="5"/>
      <c r="J138" s="5">
        <f>D138*4</f>
        <v>176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x14ac:dyDescent="0.2">
      <c r="A139" s="5" t="s">
        <v>652</v>
      </c>
      <c r="B139" s="5"/>
      <c r="C139" s="5">
        <f>'Main Dimensions Calcs'!D138</f>
        <v>70</v>
      </c>
      <c r="D139" s="5">
        <v>8</v>
      </c>
      <c r="E139" s="5"/>
      <c r="F139" s="5">
        <f>C139*D139</f>
        <v>560</v>
      </c>
      <c r="G139" s="5">
        <v>1</v>
      </c>
      <c r="H139" s="5">
        <f>G139*F139</f>
        <v>560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x14ac:dyDescent="0.2">
      <c r="A140" s="5" t="s">
        <v>653</v>
      </c>
      <c r="B140" s="5"/>
      <c r="C140" s="5">
        <f>'Main Dimensions Calcs'!D137</f>
        <v>6</v>
      </c>
      <c r="D140" s="5">
        <v>45</v>
      </c>
      <c r="E140" s="5"/>
      <c r="F140" s="5">
        <f>D140*C140</f>
        <v>270</v>
      </c>
      <c r="G140" s="5">
        <v>1</v>
      </c>
      <c r="H140" s="5">
        <f>G140*F140</f>
        <v>270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x14ac:dyDescent="0.2">
      <c r="A141" s="212"/>
      <c r="B141" s="5"/>
      <c r="C141" s="5"/>
      <c r="D141" s="5"/>
      <c r="E141" s="5"/>
      <c r="F141" s="5"/>
      <c r="G141" s="5">
        <v>1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x14ac:dyDescent="0.2">
      <c r="A142" s="212" t="s">
        <v>654</v>
      </c>
      <c r="B142" s="5" t="s">
        <v>293</v>
      </c>
      <c r="C142" s="5" t="s">
        <v>460</v>
      </c>
      <c r="D142" s="5" t="s">
        <v>451</v>
      </c>
      <c r="E142" s="5" t="s">
        <v>655</v>
      </c>
      <c r="F142" s="5"/>
      <c r="G142" s="5">
        <v>1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x14ac:dyDescent="0.2">
      <c r="A143" s="5" t="s">
        <v>651</v>
      </c>
      <c r="B143" s="5">
        <f>'Main Dimensions Calcs'!D31</f>
        <v>3925.1817458168516</v>
      </c>
      <c r="C143" s="5"/>
      <c r="D143" s="5"/>
      <c r="E143" s="5">
        <v>44</v>
      </c>
      <c r="F143" s="5">
        <f>B143*E143/1000</f>
        <v>172.70799681594147</v>
      </c>
      <c r="G143" s="5">
        <v>1</v>
      </c>
      <c r="H143" s="5">
        <f>G143*F143</f>
        <v>172.70799681594147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x14ac:dyDescent="0.2">
      <c r="A144" s="5" t="s">
        <v>652</v>
      </c>
      <c r="B144" s="5"/>
      <c r="C144" s="5">
        <f>'Main Dimensions Calcs'!D145</f>
        <v>12</v>
      </c>
      <c r="D144" s="5"/>
      <c r="E144" s="5">
        <v>8</v>
      </c>
      <c r="F144" s="5">
        <f>C144*E144</f>
        <v>96</v>
      </c>
      <c r="G144" s="5">
        <v>1</v>
      </c>
      <c r="H144" s="5">
        <f>G144*F144</f>
        <v>96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x14ac:dyDescent="0.2">
      <c r="A145" s="5" t="s">
        <v>653</v>
      </c>
      <c r="B145" s="5">
        <f>'Main Dimensions Calcs'!D143</f>
        <v>4522.1505528375537</v>
      </c>
      <c r="C145" s="5"/>
      <c r="D145" s="5">
        <v>800</v>
      </c>
      <c r="E145" s="5">
        <v>45</v>
      </c>
      <c r="F145" s="5">
        <f>B145*D145*E145*0.000001</f>
        <v>162.79741990215194</v>
      </c>
      <c r="G145" s="5">
        <v>1</v>
      </c>
      <c r="H145" s="5">
        <f>G145*F145</f>
        <v>162.79741990215194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x14ac:dyDescent="0.2">
      <c r="A146" s="5"/>
      <c r="B146" s="5"/>
      <c r="C146" s="5" t="s">
        <v>526</v>
      </c>
      <c r="D146" s="5"/>
      <c r="E146" s="5"/>
      <c r="F146" s="5"/>
      <c r="G146" s="5">
        <v>1</v>
      </c>
      <c r="H146" s="5"/>
      <c r="I146" s="5"/>
      <c r="J146" s="5"/>
      <c r="K146" s="5">
        <f>SUM(H143:H150,H128:H133,H121)</f>
        <v>3218.598648669561</v>
      </c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x14ac:dyDescent="0.2">
      <c r="A147" s="5" t="s">
        <v>656</v>
      </c>
      <c r="B147" s="5">
        <f>'Main Dimensions Calcs'!D142</f>
        <v>6106.498766724827</v>
      </c>
      <c r="C147" s="5">
        <v>5</v>
      </c>
      <c r="D147" s="5">
        <v>200</v>
      </c>
      <c r="E147" s="5"/>
      <c r="F147" s="5">
        <f>D147*C147*B147*0.000000001*B3*2</f>
        <v>97.703980267597231</v>
      </c>
      <c r="G147" s="5">
        <v>1</v>
      </c>
      <c r="H147" s="5">
        <f>G147*F147</f>
        <v>97.703980267597231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x14ac:dyDescent="0.2">
      <c r="A148" s="212"/>
      <c r="B148" s="5"/>
      <c r="C148" s="5"/>
      <c r="D148" s="5"/>
      <c r="E148" s="5"/>
      <c r="F148" s="5"/>
      <c r="G148" s="5">
        <v>1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x14ac:dyDescent="0.2">
      <c r="A149" s="5"/>
      <c r="B149" s="5" t="s">
        <v>196</v>
      </c>
      <c r="C149" s="5"/>
      <c r="D149" s="5"/>
      <c r="E149" s="5"/>
      <c r="F149" s="5"/>
      <c r="G149" s="5">
        <v>1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x14ac:dyDescent="0.2">
      <c r="A150" s="212" t="s">
        <v>657</v>
      </c>
      <c r="B150" s="5">
        <v>5</v>
      </c>
      <c r="C150" s="5"/>
      <c r="D150" s="5">
        <v>15</v>
      </c>
      <c r="E150" s="5"/>
      <c r="F150" s="5">
        <f>B150*PI()*D150</f>
        <v>235.61944901923448</v>
      </c>
      <c r="G150" s="5">
        <v>1</v>
      </c>
      <c r="H150" s="5">
        <f>G150*F150</f>
        <v>235.61944901923448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x14ac:dyDescent="0.2">
      <c r="A151" s="5"/>
      <c r="B151" s="5"/>
      <c r="C151" s="5"/>
      <c r="D151" s="5"/>
      <c r="E151" s="5"/>
      <c r="F151" s="5"/>
      <c r="G151" s="5">
        <v>1</v>
      </c>
      <c r="H151" s="5"/>
      <c r="I151" s="5"/>
      <c r="J151" s="5"/>
      <c r="K151" s="5">
        <f>SUM(H138:H150)</f>
        <v>1987.0027509038011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8" customHeight="1" x14ac:dyDescent="0.25">
      <c r="A152" s="303" t="s">
        <v>607</v>
      </c>
      <c r="B152" s="5"/>
      <c r="C152" s="5"/>
      <c r="D152" s="5"/>
      <c r="E152" s="5"/>
      <c r="F152" s="5"/>
      <c r="G152" s="5">
        <v>1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25.5" customHeight="1" x14ac:dyDescent="0.2">
      <c r="A153" s="212" t="s">
        <v>658</v>
      </c>
      <c r="B153" s="5"/>
      <c r="C153" s="5"/>
      <c r="D153" s="5"/>
      <c r="E153" s="5"/>
      <c r="F153" s="5">
        <v>100</v>
      </c>
      <c r="G153" s="5">
        <v>1</v>
      </c>
      <c r="H153" s="5">
        <f>G153*F153</f>
        <v>100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x14ac:dyDescent="0.2">
      <c r="A154" s="212"/>
      <c r="B154" s="5" t="s">
        <v>659</v>
      </c>
      <c r="C154" s="5" t="s">
        <v>660</v>
      </c>
      <c r="D154" s="5"/>
      <c r="E154" s="5" t="s">
        <v>661</v>
      </c>
      <c r="F154" s="5"/>
      <c r="G154" s="5">
        <v>1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x14ac:dyDescent="0.2">
      <c r="A155" s="212" t="s">
        <v>662</v>
      </c>
      <c r="B155" s="5">
        <f>'Main Dimensions Calcs'!D32^2*PI()/4</f>
        <v>430052618.3499068</v>
      </c>
      <c r="C155" s="5">
        <f>'Main Dimensions Calcs'!D53^2*PI()/4</f>
        <v>333291564.61934114</v>
      </c>
      <c r="D155" s="5"/>
      <c r="E155" s="5">
        <v>2.0960000000000001</v>
      </c>
      <c r="F155" s="5">
        <f>(C155+B155)*E155*0.000001</f>
        <v>1599.9694075035438</v>
      </c>
      <c r="G155" s="5">
        <v>1</v>
      </c>
      <c r="H155" s="5">
        <f>G155*F155</f>
        <v>1599.9694075035438</v>
      </c>
      <c r="I155" s="5">
        <v>1.18</v>
      </c>
      <c r="J155" s="5">
        <f>H155*I155</f>
        <v>1887.9639008541817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x14ac:dyDescent="0.2">
      <c r="A156" s="212" t="s">
        <v>663</v>
      </c>
      <c r="B156" s="5"/>
      <c r="C156" s="5"/>
      <c r="D156" s="5"/>
      <c r="E156" s="5"/>
      <c r="F156" s="216"/>
      <c r="G156" s="5">
        <v>1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25.5" customHeight="1" x14ac:dyDescent="0.2">
      <c r="A157" s="212" t="s">
        <v>664</v>
      </c>
      <c r="B157" s="5"/>
      <c r="C157" s="5"/>
      <c r="D157" s="5"/>
      <c r="E157" s="5"/>
      <c r="F157" s="5">
        <v>100</v>
      </c>
      <c r="G157" s="5">
        <v>1</v>
      </c>
      <c r="H157" s="5">
        <f>G157*F157</f>
        <v>100</v>
      </c>
      <c r="I157" s="5">
        <v>1.18</v>
      </c>
      <c r="J157" s="5">
        <f>H157*I157</f>
        <v>118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x14ac:dyDescent="0.2">
      <c r="A158" s="5"/>
      <c r="B158" s="5"/>
      <c r="C158" s="5"/>
      <c r="D158" s="5"/>
      <c r="E158" s="212" t="s">
        <v>518</v>
      </c>
      <c r="F158" s="212">
        <f>SUM(F93:F157)</f>
        <v>104611.20417617269</v>
      </c>
      <c r="G158" s="212" t="s">
        <v>518</v>
      </c>
      <c r="H158" s="212">
        <f>SUM(H92:H155)</f>
        <v>105853.86341346004</v>
      </c>
      <c r="I158" s="212" t="s">
        <v>518</v>
      </c>
      <c r="J158" s="212">
        <f>SUM(J92:J157)</f>
        <v>104284.85515590689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x14ac:dyDescent="0.2">
      <c r="A159" s="5"/>
      <c r="B159" s="5"/>
      <c r="C159" s="5"/>
      <c r="D159" s="5"/>
      <c r="E159" s="5"/>
      <c r="F159" s="5"/>
      <c r="G159" s="5" t="s">
        <v>610</v>
      </c>
      <c r="H159" s="5">
        <v>1.02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x14ac:dyDescent="0.2">
      <c r="A160" s="5"/>
      <c r="B160" s="5"/>
      <c r="C160" s="5"/>
      <c r="D160" s="5"/>
      <c r="E160" s="5"/>
      <c r="F160" s="5"/>
      <c r="G160" s="5" t="s">
        <v>611</v>
      </c>
      <c r="H160" s="5">
        <f>H158*H159</f>
        <v>107970.94068172925</v>
      </c>
      <c r="I160" s="5" t="s">
        <v>612</v>
      </c>
      <c r="J160" s="5">
        <f>SUM(J101,J104:J112,J118,J119)</f>
        <v>96288.652053132304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x14ac:dyDescent="0.2">
      <c r="A161" s="5"/>
      <c r="B161" s="5"/>
      <c r="C161" s="5"/>
      <c r="D161" s="5"/>
      <c r="E161" s="5"/>
      <c r="F161" s="5"/>
      <c r="G161" s="5" t="s">
        <v>613</v>
      </c>
      <c r="H161" s="5">
        <f>SUM(H104:H114,H129,H138,H139,H140)</f>
        <v>35116.462008752882</v>
      </c>
      <c r="I161" s="5" t="s">
        <v>614</v>
      </c>
      <c r="J161" s="5">
        <f>SUM(H101,H104:H112,H118,H119,H114)</f>
        <v>98621.613837332829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x14ac:dyDescent="0.2">
      <c r="A162" s="5"/>
      <c r="B162" s="5"/>
      <c r="C162" s="5"/>
      <c r="D162" s="5"/>
      <c r="E162" s="5"/>
      <c r="F162" s="5"/>
      <c r="G162" s="5" t="s">
        <v>615</v>
      </c>
      <c r="H162" s="5">
        <f>SUM(H118:H123,H143:H150,H128,H130,H131,H153)</f>
        <v>49872.832985578149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x14ac:dyDescent="0.2">
      <c r="A163" s="5"/>
      <c r="B163" s="5"/>
      <c r="C163" s="5"/>
      <c r="D163" s="5"/>
      <c r="E163" s="5"/>
      <c r="F163" s="5"/>
      <c r="G163" s="5" t="s">
        <v>616</v>
      </c>
      <c r="H163" s="5">
        <f>SUM(H93:H101)</f>
        <v>19014.599011625498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x14ac:dyDescent="0.2">
      <c r="A165" s="5"/>
      <c r="B165" s="5"/>
      <c r="C165" s="5"/>
      <c r="D165" s="5"/>
      <c r="E165" s="5"/>
      <c r="F165" s="5"/>
      <c r="G165" s="11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x14ac:dyDescent="0.2">
      <c r="A167" s="5" t="str">
        <f>'Thermal calculation 2'!G71</f>
        <v>Low concrete slab weight/Peso capa inferior de hormigón</v>
      </c>
      <c r="B167" s="5"/>
      <c r="C167" s="5"/>
      <c r="D167" s="5"/>
      <c r="E167" s="5"/>
      <c r="F167" s="5"/>
      <c r="G167" s="5"/>
      <c r="H167" s="306">
        <f>'Thermal calculation 2'!K71/2500</f>
        <v>43.005261834990669</v>
      </c>
      <c r="I167" s="5"/>
      <c r="J167" s="5">
        <f t="shared" ref="J167:J172" si="13">H167*I167</f>
        <v>0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x14ac:dyDescent="0.2">
      <c r="A168" s="5" t="str">
        <f>'Thermal calculation 2'!G72</f>
        <v>Upper concrete slab weight/Peso capa superior de hormigón</v>
      </c>
      <c r="B168" s="5"/>
      <c r="C168" s="5"/>
      <c r="D168" s="5"/>
      <c r="E168" s="5"/>
      <c r="F168" s="5"/>
      <c r="G168" s="5"/>
      <c r="H168" s="306">
        <f>'Thermal calculation 2'!K72/2500</f>
        <v>35.485666296516051</v>
      </c>
      <c r="I168" s="5"/>
      <c r="J168" s="5">
        <f t="shared" si="13"/>
        <v>0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x14ac:dyDescent="0.2">
      <c r="A169" s="5" t="str">
        <f>'Thermal calculation 2'!G73</f>
        <v>Ringwall weight/Peso anillo de hormigón</v>
      </c>
      <c r="B169" s="5"/>
      <c r="C169" s="5"/>
      <c r="D169" s="5"/>
      <c r="E169" s="5"/>
      <c r="F169" s="5"/>
      <c r="G169" s="5"/>
      <c r="H169" s="306">
        <f>'Thermal calculation 2'!K73/2500</f>
        <v>8.6332851076239692</v>
      </c>
      <c r="I169" s="5"/>
      <c r="J169" s="5">
        <f t="shared" si="13"/>
        <v>0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x14ac:dyDescent="0.2">
      <c r="A170" s="5" t="str">
        <f>'Thermal calculation 2'!G78</f>
        <v>Low concrete slab/Capa inferior de hormigón</v>
      </c>
      <c r="B170" s="5"/>
      <c r="C170" s="5"/>
      <c r="D170" s="5"/>
      <c r="E170" s="5"/>
      <c r="F170" s="5"/>
      <c r="G170" s="5"/>
      <c r="H170" s="306">
        <f>'Thermal calculation 2'!K78/2500</f>
        <v>7.5195955384746256</v>
      </c>
      <c r="I170" s="5"/>
      <c r="J170" s="5">
        <f t="shared" si="13"/>
        <v>0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x14ac:dyDescent="0.2">
      <c r="A171" s="5" t="s">
        <v>665</v>
      </c>
      <c r="B171" s="5"/>
      <c r="C171" s="5"/>
      <c r="D171" s="5"/>
      <c r="E171" s="306"/>
      <c r="F171" s="5"/>
      <c r="G171" s="5"/>
      <c r="H171" s="5">
        <f>'Thermal calculation 2'!K89</f>
        <v>275.25204526450443</v>
      </c>
      <c r="I171" s="5">
        <v>385</v>
      </c>
      <c r="J171" s="5">
        <f t="shared" si="13"/>
        <v>105972.03742683421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x14ac:dyDescent="0.2">
      <c r="A172" s="5" t="s">
        <v>666</v>
      </c>
      <c r="B172" s="5"/>
      <c r="C172" s="5"/>
      <c r="D172" s="5"/>
      <c r="E172" s="5"/>
      <c r="F172" s="5"/>
      <c r="G172" s="5"/>
      <c r="H172" s="5">
        <f>'Thermal calculation 2'!K90+'Thermal calculation 2'!K91</f>
        <v>1329.0436514590283</v>
      </c>
      <c r="I172" s="5">
        <f>45</f>
        <v>45</v>
      </c>
      <c r="J172" s="5">
        <f t="shared" si="13"/>
        <v>59806.964315656274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x14ac:dyDescent="0.2">
      <c r="A173" s="5"/>
      <c r="B173" s="5"/>
      <c r="C173" s="5"/>
      <c r="D173" s="5"/>
      <c r="E173" s="21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2">
      <c r="A174" s="5"/>
      <c r="B174" s="5"/>
      <c r="C174" s="5"/>
      <c r="D174" s="5"/>
      <c r="E174" s="21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x14ac:dyDescent="0.2">
      <c r="A175" s="5"/>
      <c r="B175" s="5"/>
      <c r="C175" s="5"/>
      <c r="D175" s="5"/>
      <c r="E175" s="30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x14ac:dyDescent="0.2">
      <c r="A176" s="5"/>
      <c r="B176" s="5"/>
      <c r="C176" s="5"/>
      <c r="D176" s="5"/>
      <c r="E176" s="30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x14ac:dyDescent="0.2">
      <c r="A177" s="5"/>
      <c r="B177" s="5"/>
      <c r="C177" s="5"/>
      <c r="D177" s="5"/>
      <c r="E177" s="30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x14ac:dyDescent="0.2">
      <c r="A178" s="5"/>
      <c r="B178" s="5"/>
      <c r="C178" s="5"/>
      <c r="D178" s="5"/>
      <c r="E178" s="30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x14ac:dyDescent="0.2">
      <c r="A179" s="5"/>
      <c r="B179" s="5"/>
      <c r="C179" s="5"/>
      <c r="D179" s="5"/>
      <c r="E179" s="30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x14ac:dyDescent="0.2">
      <c r="A181" s="118" t="s">
        <v>667</v>
      </c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x14ac:dyDescent="0.2">
      <c r="A182" s="64" t="s">
        <v>668</v>
      </c>
      <c r="B182" s="5">
        <f>+F7+F8+F9</f>
        <v>3425.28</v>
      </c>
      <c r="C182" s="5"/>
      <c r="D182" s="5"/>
      <c r="E182" s="30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x14ac:dyDescent="0.2">
      <c r="A183" s="64" t="s">
        <v>669</v>
      </c>
      <c r="B183" s="263">
        <f>+F14+F16+F17+F19+F21</f>
        <v>15423.251388293565</v>
      </c>
      <c r="C183" s="5"/>
      <c r="D183" s="5"/>
      <c r="E183" s="5"/>
      <c r="F183" s="5"/>
      <c r="G183" s="5"/>
      <c r="H183" s="64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x14ac:dyDescent="0.2">
      <c r="A184" s="64" t="s">
        <v>670</v>
      </c>
      <c r="B184" s="263">
        <f>+F25+F26+F27+F28+F29+F30+F31+F32+F33+F34</f>
        <v>31076.131874485654</v>
      </c>
      <c r="C184" s="5"/>
      <c r="D184" s="5"/>
      <c r="E184" s="5"/>
      <c r="F184" s="5">
        <f>43+8.2+3.3+12.5</f>
        <v>67</v>
      </c>
      <c r="G184" s="5"/>
      <c r="H184" s="64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x14ac:dyDescent="0.2">
      <c r="A185" s="64" t="s">
        <v>671</v>
      </c>
      <c r="B185" s="263">
        <f>+F37+F38</f>
        <v>3774.0128476762784</v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x14ac:dyDescent="0.2">
      <c r="A186" s="64" t="s">
        <v>672</v>
      </c>
      <c r="B186" s="263">
        <f>+F41+F43+F45</f>
        <v>35983.903848569629</v>
      </c>
      <c r="C186" s="5"/>
      <c r="D186" s="5"/>
      <c r="E186" s="30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x14ac:dyDescent="0.2">
      <c r="A187" s="64" t="s">
        <v>673</v>
      </c>
      <c r="B187" s="265">
        <f>+F49+F50+F51+F52+F53+F54+F55+F56+F57+F58+F59+F60+F61+F62</f>
        <v>3492.7</v>
      </c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x14ac:dyDescent="0.2">
      <c r="A188" s="5"/>
      <c r="B188" s="5">
        <f>SUM(B182:B187)</f>
        <v>93175.279959025123</v>
      </c>
      <c r="C188" s="263">
        <f>+B183+B184+B185+B186</f>
        <v>86257.299959025127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x14ac:dyDescent="0.2">
      <c r="A190" s="118" t="s">
        <v>674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2">
      <c r="A191" s="64" t="s">
        <v>675</v>
      </c>
      <c r="B191" s="263">
        <f>+F93+F94+F95+F96+F98</f>
        <v>1069.5076150552427</v>
      </c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2">
      <c r="A192" s="64" t="s">
        <v>669</v>
      </c>
      <c r="B192" s="263">
        <f>+F101</f>
        <v>17945.091396570257</v>
      </c>
      <c r="C192" s="5">
        <v>10500</v>
      </c>
      <c r="D192" s="5"/>
      <c r="E192" s="5">
        <f>11.1*2.2*5*8*3</f>
        <v>2930.4</v>
      </c>
      <c r="F192" s="5">
        <f>6.8*2.2*5*8</f>
        <v>598.40000000000009</v>
      </c>
      <c r="G192" s="5">
        <f>13*2.2*5*8</f>
        <v>1144</v>
      </c>
      <c r="H192" s="5">
        <f>2*10.5*2.2*5*8</f>
        <v>1848</v>
      </c>
      <c r="I192" s="5">
        <f>11.4*2.2*5*8</f>
        <v>1003.2</v>
      </c>
      <c r="J192" s="5">
        <f>2*9.3*2.2*5*8</f>
        <v>1636.8000000000004</v>
      </c>
      <c r="K192" s="5">
        <f>7.9*2.2*5*8</f>
        <v>695.2</v>
      </c>
      <c r="L192" s="5">
        <f>2*6.9*1.4*8*5</f>
        <v>772.8</v>
      </c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x14ac:dyDescent="0.2">
      <c r="A193" s="64" t="s">
        <v>670</v>
      </c>
      <c r="B193" s="263">
        <f>+F104+F105+F106+F107+F108+F109+F110+F111+F112+F113</f>
        <v>31461.32631965349</v>
      </c>
      <c r="C193" s="5">
        <v>42000</v>
      </c>
      <c r="D193" s="5"/>
      <c r="E193" s="5">
        <f>7.8*2*6*8*7*3</f>
        <v>15724.8</v>
      </c>
      <c r="F193" s="5">
        <f>7.8*1.5*6*8*6*7</f>
        <v>23587.199999999997</v>
      </c>
      <c r="G193" s="5">
        <f>7.8*1*6*8*7</f>
        <v>2620.7999999999997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x14ac:dyDescent="0.2">
      <c r="A194" s="64" t="s">
        <v>671</v>
      </c>
      <c r="B194" s="5">
        <f>+F114</f>
        <v>2332.9617842005177</v>
      </c>
      <c r="C194" s="5">
        <v>2000</v>
      </c>
      <c r="D194" s="5"/>
      <c r="E194" s="5">
        <f>2*5.5*2.2*10*8</f>
        <v>1936.0000000000002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x14ac:dyDescent="0.2">
      <c r="A195" s="64" t="s">
        <v>672</v>
      </c>
      <c r="B195" s="5">
        <f>+F118+F119+F121+F123</f>
        <v>46843.34490228584</v>
      </c>
      <c r="C195" s="5">
        <v>23000</v>
      </c>
      <c r="D195" s="5"/>
      <c r="E195" s="5">
        <f>8.5*2.3*10*8</f>
        <v>1563.9999999999998</v>
      </c>
      <c r="F195" s="5">
        <f>14*10.6*2.1*9*8</f>
        <v>22438.080000000002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x14ac:dyDescent="0.2">
      <c r="A196" s="64" t="s">
        <v>673</v>
      </c>
      <c r="B196" s="5">
        <f>+F128+F129+F130+F131+F133</f>
        <v>1172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x14ac:dyDescent="0.2">
      <c r="A197" s="64" t="s">
        <v>676</v>
      </c>
      <c r="B197" s="263">
        <f>+F138+F139+F140+F143+F144+F145+F147+F150</f>
        <v>1987.0027509038011</v>
      </c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2">
      <c r="A198" s="5"/>
      <c r="B198" s="263">
        <f>SUM(B191:B197)</f>
        <v>102811.23476866915</v>
      </c>
      <c r="C198" s="263">
        <f>SUM(C192:C197)</f>
        <v>77500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x14ac:dyDescent="0.2">
      <c r="A200" s="5"/>
      <c r="B200" s="5"/>
      <c r="C200" s="263">
        <f>+B192+B193+B194+B195</f>
        <v>98582.724402710097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</sheetData>
  <mergeCells count="4">
    <mergeCell ref="A90:I90"/>
    <mergeCell ref="B4:E4"/>
    <mergeCell ref="A2:I2"/>
    <mergeCell ref="B91:E91"/>
  </mergeCells>
  <pageMargins left="0.75" right="0.75" top="1" bottom="1" header="0" footer="0"/>
  <pageSetup paperSize="9" orientation="landscape" verticalDpi="1200"/>
  <colBreaks count="1" manualBreakCount="1">
    <brk id="10" max="1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39</vt:i4>
      </vt:variant>
    </vt:vector>
  </HeadingPairs>
  <TitlesOfParts>
    <vt:vector size="78" baseType="lpstr">
      <vt:lpstr>Front Page</vt:lpstr>
      <vt:lpstr>Index</vt:lpstr>
      <vt:lpstr>Ref Documents</vt:lpstr>
      <vt:lpstr>Design Conditions</vt:lpstr>
      <vt:lpstr>Allowable Stresses</vt:lpstr>
      <vt:lpstr>Main Dimensions Summary</vt:lpstr>
      <vt:lpstr>Main Dimensions Calcs</vt:lpstr>
      <vt:lpstr>Plate List</vt:lpstr>
      <vt:lpstr>Weight Calculations</vt:lpstr>
      <vt:lpstr>Front Page Thermal Calcs</vt:lpstr>
      <vt:lpstr>Thermal calculation 1</vt:lpstr>
      <vt:lpstr>Thermal calculation 2</vt:lpstr>
      <vt:lpstr>Inner Vessel Shell Thickness</vt:lpstr>
      <vt:lpstr>Inner Vessel Shell Thickness 2</vt:lpstr>
      <vt:lpstr>IV Shell Thickness Test</vt:lpstr>
      <vt:lpstr>IV Shell Thickness Full Liquid</vt:lpstr>
      <vt:lpstr>Inner Tank stiffeners 1</vt:lpstr>
      <vt:lpstr>Inner Tank Stiffeners 2</vt:lpstr>
      <vt:lpstr>Inner Tank Stiffeners 3</vt:lpstr>
      <vt:lpstr>Inner Tank Stiffeners Solid</vt:lpstr>
      <vt:lpstr>Inner Tank Roof Thickness</vt:lpstr>
      <vt:lpstr>Inner Tank Compression Ring 1</vt:lpstr>
      <vt:lpstr>Inner Tank Compression Ring 2</vt:lpstr>
      <vt:lpstr>Inner Tank Anchors</vt:lpstr>
      <vt:lpstr>Oute Tank Shell</vt:lpstr>
      <vt:lpstr>Outer Tank Stiffeners</vt:lpstr>
      <vt:lpstr>Outer Tank Roof</vt:lpstr>
      <vt:lpstr>Outer Tank Roof to Shell</vt:lpstr>
      <vt:lpstr>Outer Tank Anchors</vt:lpstr>
      <vt:lpstr>Wind Forces</vt:lpstr>
      <vt:lpstr>Earthquake API 650 OLE</vt:lpstr>
      <vt:lpstr>Earthquake API 650 CLE</vt:lpstr>
      <vt:lpstr>Earthquake API 650 Inner Tank</vt:lpstr>
      <vt:lpstr>Earthquake API 650 Outer Tank</vt:lpstr>
      <vt:lpstr>Loads on slab</vt:lpstr>
      <vt:lpstr>Cellular Glass Selection</vt:lpstr>
      <vt:lpstr>Nozzle Reinforcement</vt:lpstr>
      <vt:lpstr>Concrete Rebar Check</vt:lpstr>
      <vt:lpstr>ASCE 7-10 Check</vt:lpstr>
      <vt:lpstr>'Ref Documents'!_Hlk57045154</vt:lpstr>
      <vt:lpstr>'Allowable Stresses'!Print_Area</vt:lpstr>
      <vt:lpstr>'ASCE 7-10 Check'!Print_Area</vt:lpstr>
      <vt:lpstr>'Cellular Glass Selection'!Print_Area</vt:lpstr>
      <vt:lpstr>'Concrete Rebar Check'!Print_Area</vt:lpstr>
      <vt:lpstr>'Design Conditions'!Print_Area</vt:lpstr>
      <vt:lpstr>'Earthquake API 650 CLE'!Print_Area</vt:lpstr>
      <vt:lpstr>'Earthquake API 650 Inner Tank'!Print_Area</vt:lpstr>
      <vt:lpstr>'Earthquake API 650 OLE'!Print_Area</vt:lpstr>
      <vt:lpstr>'Earthquake API 650 Outer Tank'!Print_Area</vt:lpstr>
      <vt:lpstr>'Front Page'!Print_Area</vt:lpstr>
      <vt:lpstr>'Front Page Thermal Calcs'!Print_Area</vt:lpstr>
      <vt:lpstr>Index!Print_Area</vt:lpstr>
      <vt:lpstr>'Inner Tank Anchors'!Print_Area</vt:lpstr>
      <vt:lpstr>'Inner Tank Compression Ring 1'!Print_Area</vt:lpstr>
      <vt:lpstr>'Inner Tank Compression Ring 2'!Print_Area</vt:lpstr>
      <vt:lpstr>'Inner Tank Roof Thickness'!Print_Area</vt:lpstr>
      <vt:lpstr>'Inner Tank stiffeners 1'!Print_Area</vt:lpstr>
      <vt:lpstr>'Inner Tank Stiffeners 2'!Print_Area</vt:lpstr>
      <vt:lpstr>'Inner Tank Stiffeners 3'!Print_Area</vt:lpstr>
      <vt:lpstr>'Inner Tank Stiffeners Solid'!Print_Area</vt:lpstr>
      <vt:lpstr>'Inner Vessel Shell Thickness'!Print_Area</vt:lpstr>
      <vt:lpstr>'Inner Vessel Shell Thickness 2'!Print_Area</vt:lpstr>
      <vt:lpstr>'IV Shell Thickness Full Liquid'!Print_Area</vt:lpstr>
      <vt:lpstr>'IV Shell Thickness Test'!Print_Area</vt:lpstr>
      <vt:lpstr>'Loads on slab'!Print_Area</vt:lpstr>
      <vt:lpstr>'Main Dimensions Calcs'!Print_Area</vt:lpstr>
      <vt:lpstr>'Main Dimensions Summary'!Print_Area</vt:lpstr>
      <vt:lpstr>'Nozzle Reinforcement'!Print_Area</vt:lpstr>
      <vt:lpstr>'Oute Tank Shell'!Print_Area</vt:lpstr>
      <vt:lpstr>'Outer Tank Anchors'!Print_Area</vt:lpstr>
      <vt:lpstr>'Outer Tank Roof'!Print_Area</vt:lpstr>
      <vt:lpstr>'Outer Tank Roof to Shell'!Print_Area</vt:lpstr>
      <vt:lpstr>'Outer Tank Stiffeners'!Print_Area</vt:lpstr>
      <vt:lpstr>'Ref Documents'!Print_Area</vt:lpstr>
      <vt:lpstr>'Thermal calculation 1'!Print_Area</vt:lpstr>
      <vt:lpstr>'Thermal calculation 2'!Print_Area</vt:lpstr>
      <vt:lpstr>'Weight Calculations'!Print_Area</vt:lpstr>
      <vt:lpstr>'Wind Forces'!Print_Area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Collantes</dc:creator>
  <cp:lastModifiedBy>Pierre Meurgey</cp:lastModifiedBy>
  <cp:lastPrinted>2022-01-17T11:03:55Z</cp:lastPrinted>
  <dcterms:created xsi:type="dcterms:W3CDTF">2009-05-12T09:22:09Z</dcterms:created>
  <dcterms:modified xsi:type="dcterms:W3CDTF">2025-12-10T13:59:32Z</dcterms:modified>
</cp:coreProperties>
</file>